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1640" activeTab="0"/>
  </bookViews>
  <sheets>
    <sheet name="ДЦП Благоуст. (08.02. +26млн)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'ДЦП Благоуст. (08.02. +26млн)'!$E$6:$E$268</definedName>
    <definedName name="_xlnm.Print_Titles" localSheetId="0">'ДЦП Благоуст. (08.02. +26млн)'!$7:$10</definedName>
    <definedName name="_xlnm.Print_Area" localSheetId="0">'ДЦП Благоуст. (08.02. +26млн)'!$A$2:$P$264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Q140" authorId="0">
      <text>
        <r>
          <rPr>
            <b/>
            <sz val="8"/>
            <rFont val="Tahoma"/>
            <family val="0"/>
          </rPr>
          <t>Экономист:</t>
        </r>
        <r>
          <rPr>
            <sz val="8"/>
            <rFont val="Tahoma"/>
            <family val="0"/>
          </rPr>
          <t xml:space="preserve">
к-во водопропускных труб - 10, 
мостов - 6</t>
        </r>
      </text>
    </comment>
    <comment ref="Q141" authorId="0">
      <text>
        <r>
          <rPr>
            <b/>
            <sz val="8"/>
            <rFont val="Tahoma"/>
            <family val="0"/>
          </rPr>
          <t>Экономист:</t>
        </r>
        <r>
          <rPr>
            <sz val="8"/>
            <rFont val="Tahoma"/>
            <family val="0"/>
          </rPr>
          <t xml:space="preserve">
к-во водопропускных труб - 10, 
мостов - 6</t>
        </r>
      </text>
    </comment>
    <comment ref="Q142" authorId="0">
      <text>
        <r>
          <rPr>
            <b/>
            <sz val="8"/>
            <rFont val="Tahoma"/>
            <family val="0"/>
          </rPr>
          <t>Экономист:</t>
        </r>
        <r>
          <rPr>
            <sz val="8"/>
            <rFont val="Tahoma"/>
            <family val="0"/>
          </rPr>
          <t xml:space="preserve">
к-во водопропускных труб - 10, 
мостов - 6</t>
        </r>
      </text>
    </comment>
    <comment ref="Q143" authorId="0">
      <text>
        <r>
          <rPr>
            <b/>
            <sz val="8"/>
            <rFont val="Tahoma"/>
            <family val="0"/>
          </rPr>
          <t>Экономист:</t>
        </r>
        <r>
          <rPr>
            <sz val="8"/>
            <rFont val="Tahoma"/>
            <family val="0"/>
          </rPr>
          <t xml:space="preserve">
к-во водопропускных труб - 10, 
мостов - 6</t>
        </r>
      </text>
    </comment>
  </commentList>
</comments>
</file>

<file path=xl/sharedStrings.xml><?xml version="1.0" encoding="utf-8"?>
<sst xmlns="http://schemas.openxmlformats.org/spreadsheetml/2006/main" count="531" uniqueCount="191">
  <si>
    <t>без К-т</t>
  </si>
  <si>
    <t>Приложение №1</t>
  </si>
  <si>
    <t>к постановлению Администрации</t>
  </si>
  <si>
    <t>Березовского ГО</t>
  </si>
  <si>
    <t>7. Перечень программных мероприятий долгосрочной целевой программы "Благоустройство Березовского городского округа"  на 2013 год и плановый 2014-2015г.г. период</t>
  </si>
  <si>
    <t>№ п/п</t>
  </si>
  <si>
    <t>Наименование программы, подпрограмм, программных мероприятий</t>
  </si>
  <si>
    <t>Плановый период</t>
  </si>
  <si>
    <t>Объем финансирования (тыс.руб., в ценах соответствующих годов)</t>
  </si>
  <si>
    <t>Исполнитель программного мероприятия</t>
  </si>
  <si>
    <t>Ожидаемый результат</t>
  </si>
  <si>
    <t>Количественная оценка</t>
  </si>
  <si>
    <t>Всего (утверждено)</t>
  </si>
  <si>
    <t>в том числе по источникам:</t>
  </si>
  <si>
    <t>Выполнение 2011</t>
  </si>
  <si>
    <t>Предложения МКУ (01.09.2012)</t>
  </si>
  <si>
    <t>Предложения МКУ (01.10.2012)</t>
  </si>
  <si>
    <t>городской бюджет, в том числе:</t>
  </si>
  <si>
    <t>иные не запрещенные законодательством источники</t>
  </si>
  <si>
    <t>Объем финансировния  на 2013г., руб. ( с расшифровки к смете)</t>
  </si>
  <si>
    <t>ВСЕГО</t>
  </si>
  <si>
    <t>Кредиторская задолжен-ность по программе</t>
  </si>
  <si>
    <t>Финансирова-ние программных мероприятий</t>
  </si>
  <si>
    <t>федеральный бюджет</t>
  </si>
  <si>
    <t>областной бюджет</t>
  </si>
  <si>
    <t>внебюдждетные источники</t>
  </si>
  <si>
    <t>ед.изм</t>
  </si>
  <si>
    <t>к-во</t>
  </si>
  <si>
    <t>цена/стоимость</t>
  </si>
  <si>
    <t>Всего по программе</t>
  </si>
  <si>
    <t>2013-2015 годы</t>
  </si>
  <si>
    <t>МКУ по УЖКХ Березовского городского округа, Подрядные  организации *</t>
  </si>
  <si>
    <t>2013 год</t>
  </si>
  <si>
    <t>2014 год</t>
  </si>
  <si>
    <t>2015 год</t>
  </si>
  <si>
    <t>в том числе Кредиторская задолженность по Программе</t>
  </si>
  <si>
    <t>Строительство, капитальный и текущий ремонты, содержание городских дорог, инженерных сетей, тротуаров, внутриквартальных проездов, включая искусственные сооружения и обустройство дорог в соответствии с нормативными требованиями</t>
  </si>
  <si>
    <t>1.1</t>
  </si>
  <si>
    <t>Зимнее содержание городских дорог</t>
  </si>
  <si>
    <t>тыс.м2</t>
  </si>
  <si>
    <t>1.2</t>
  </si>
  <si>
    <t>Зимнее содержание внутриквартальных проездов и площадей</t>
  </si>
  <si>
    <t>1.3</t>
  </si>
  <si>
    <t>Зимняя очистка от снега частного сектора</t>
  </si>
  <si>
    <t>1.4</t>
  </si>
  <si>
    <t>Приобретение пескосоляной смеси для противогололедной обработки - ежегодно</t>
  </si>
  <si>
    <t>т</t>
  </si>
  <si>
    <t>1.5</t>
  </si>
  <si>
    <t>Летнее содержание городских дорог</t>
  </si>
  <si>
    <t>км</t>
  </si>
  <si>
    <t>1.6</t>
  </si>
  <si>
    <t>Летнее содержание проездов, гор.площадей, бульваров, тротуаров</t>
  </si>
  <si>
    <t>1.7</t>
  </si>
  <si>
    <t>1.8</t>
  </si>
  <si>
    <t>1.9</t>
  </si>
  <si>
    <t>Ремонт внутриквартальных проездов (ямочный)</t>
  </si>
  <si>
    <t>1.10</t>
  </si>
  <si>
    <t>Устройство  тротуаров</t>
  </si>
  <si>
    <t>м</t>
  </si>
  <si>
    <t>1.11</t>
  </si>
  <si>
    <t>1.12</t>
  </si>
  <si>
    <t>шт.</t>
  </si>
  <si>
    <t>1.12.</t>
  </si>
  <si>
    <t>Кредиторская зад-ть (в том числе)</t>
  </si>
  <si>
    <t>Кредиторская зад-ть (содержание дорог и внутриквар. проезд.)</t>
  </si>
  <si>
    <t>Кредиторская зад-ть (ремонт гор.дорог и частного сектора)</t>
  </si>
  <si>
    <t>Кредиторская зад-ть (дорожная разметка)</t>
  </si>
  <si>
    <t>Кредиторская задолжность (поставка пескосоляной смеси)</t>
  </si>
  <si>
    <t>Кредиторская задолжность (ремонт дорог)</t>
  </si>
  <si>
    <t>Строительство, реконструкция и содержание уличного освещения</t>
  </si>
  <si>
    <t>Обеспечение соответствия уличного освещения требованиям технических регламентов. Увеличение уровня общей протяженности освещенных улиц, проездов, набережных в их общей протяженности</t>
  </si>
  <si>
    <t>2.1</t>
  </si>
  <si>
    <t>Уличное освещение (поставка электроэнергии)</t>
  </si>
  <si>
    <t>2.2</t>
  </si>
  <si>
    <t>Уличное освещение (поставка электроэнергии - новые линии , построенные в 2012)</t>
  </si>
  <si>
    <t>2.3</t>
  </si>
  <si>
    <t>Ремонт  и техническое обслуживание оборудования уличного освещения (в том числе светофорных объектов)</t>
  </si>
  <si>
    <t>2.4</t>
  </si>
  <si>
    <t>Установка светильников с инд.фотореле (частный сектор)</t>
  </si>
  <si>
    <t>2.5</t>
  </si>
  <si>
    <t>Строительство  уличного освещения  - подготовка ПСД, СМР</t>
  </si>
  <si>
    <t>2.6</t>
  </si>
  <si>
    <t xml:space="preserve">Реконструкция уличного освещения </t>
  </si>
  <si>
    <t>2.7.</t>
  </si>
  <si>
    <t>Кредиторская зад-ть (установка светильников)</t>
  </si>
  <si>
    <t>Кред-ая задолж-ть (реконструкция ул.освещения)</t>
  </si>
  <si>
    <t>Кред-ая задолж-ть (стро-во линий ул.освещения)</t>
  </si>
  <si>
    <t>Кредиторская зад-ть (т/о,ремонт уличного освещения)</t>
  </si>
  <si>
    <t>Кредиторская зад-ть  (к/у по уличному освещению)</t>
  </si>
  <si>
    <t>Озеленение (организация деятельности по посадке, реконструкции, восстановлению зеленых насаждений)</t>
  </si>
  <si>
    <t xml:space="preserve">Улучшение экологического и санитарного состояния зеленых насаждений, поддержание площадей зеленых насаждений общего пользования в т.ч. площади цветников и газонов </t>
  </si>
  <si>
    <t>3.1</t>
  </si>
  <si>
    <t>3.2</t>
  </si>
  <si>
    <t>м2</t>
  </si>
  <si>
    <t>3.3.</t>
  </si>
  <si>
    <t>Кредиторская зад-ть (обрезка и валка деревьев)</t>
  </si>
  <si>
    <t>Кредиторская зад-ть (озеленение)</t>
  </si>
  <si>
    <t>Текущее содержание, поддержание в надлежащем состоянии объектов внешнего благоустройства территории городского округа</t>
  </si>
  <si>
    <t>4.1</t>
  </si>
  <si>
    <t>дн.</t>
  </si>
  <si>
    <t>4.2</t>
  </si>
  <si>
    <t>Водоснабжение (фонтан с водоотведением, вода для подвоза населению, заливка катков)</t>
  </si>
  <si>
    <t>4.3</t>
  </si>
  <si>
    <t xml:space="preserve">Вывоз контейнеров </t>
  </si>
  <si>
    <t>м3</t>
  </si>
  <si>
    <t>4.4</t>
  </si>
  <si>
    <t>Противопаводковые мероприятия</t>
  </si>
  <si>
    <t>4.5</t>
  </si>
  <si>
    <t>Прочистка канализации - бесхозных (устранение засоров)</t>
  </si>
  <si>
    <t>4.6</t>
  </si>
  <si>
    <t>Обслуживание городских фонтанов</t>
  </si>
  <si>
    <t>4.7</t>
  </si>
  <si>
    <t>Расконсервация (консервация) городских фонтанов</t>
  </si>
  <si>
    <t>4.8</t>
  </si>
  <si>
    <t>Обслуживания биотуалетов</t>
  </si>
  <si>
    <t>4.9</t>
  </si>
  <si>
    <t>Летнее благоустройство территории Березовского городского округа (ежегодно)</t>
  </si>
  <si>
    <t>Га</t>
  </si>
  <si>
    <t>4.10</t>
  </si>
  <si>
    <t>Благоустройство дворовых территорий</t>
  </si>
  <si>
    <t>двор</t>
  </si>
  <si>
    <t>4.11</t>
  </si>
  <si>
    <t>4.12</t>
  </si>
  <si>
    <t>Снос ветхого жилья, планировка территории</t>
  </si>
  <si>
    <t>ед.</t>
  </si>
  <si>
    <t>4.13</t>
  </si>
  <si>
    <t>4.14</t>
  </si>
  <si>
    <t>4.15</t>
  </si>
  <si>
    <t>4.16</t>
  </si>
  <si>
    <t>Монтаж-демонтаж спортивно-игровых площадок</t>
  </si>
  <si>
    <t>4.17</t>
  </si>
  <si>
    <t>Монтаж баннеров, растяжек, др.элементов</t>
  </si>
  <si>
    <t>4.18</t>
  </si>
  <si>
    <t>4.19</t>
  </si>
  <si>
    <t>4.20</t>
  </si>
  <si>
    <t>маш-час</t>
  </si>
  <si>
    <t>4.21</t>
  </si>
  <si>
    <t>га</t>
  </si>
  <si>
    <t>4.22</t>
  </si>
  <si>
    <t>Противоклещевая обработка городских территорий</t>
  </si>
  <si>
    <t>4.23</t>
  </si>
  <si>
    <t>Иммобилизация безнадзорных животных</t>
  </si>
  <si>
    <t>4.24</t>
  </si>
  <si>
    <t>Приобретение контейнеров 0,75м3  (50 шт.) и 7,6м3 (20 шт.)</t>
  </si>
  <si>
    <t>4.25</t>
  </si>
  <si>
    <t>Устройство остановочных площадок с асфальтобетонным покрытием</t>
  </si>
  <si>
    <t>4.26</t>
  </si>
  <si>
    <t>Устройство пункта весового контроля (3-го)</t>
  </si>
  <si>
    <t xml:space="preserve"> - </t>
  </si>
  <si>
    <t>4.27</t>
  </si>
  <si>
    <t>Устройство пешеходных ограждений</t>
  </si>
  <si>
    <t>4.28</t>
  </si>
  <si>
    <t>Устройство дорожных ограждений</t>
  </si>
  <si>
    <t>4.29</t>
  </si>
  <si>
    <t xml:space="preserve">ПРОЧИЕ-разовые работы по благоустройству: </t>
  </si>
  <si>
    <t>4.30</t>
  </si>
  <si>
    <t>Кредиторская зад-ть (автоуслуги)</t>
  </si>
  <si>
    <t>Кредиторская зад-ть (вода)</t>
  </si>
  <si>
    <t>Кредиторская зад-ть противопаводк. мер.</t>
  </si>
  <si>
    <t>Кредиторская зад-ть сан.очистка гор.</t>
  </si>
  <si>
    <t>Кредиторская зад-ть по прочему благоустройству</t>
  </si>
  <si>
    <t>Кредиторская задолженность (прочие благоустройство)</t>
  </si>
  <si>
    <t>Кредиторская зад-ть (снос ветхого жилья)</t>
  </si>
  <si>
    <t>Кредиторская зад.ть (приобретение автовесов - расп.2012г.)</t>
  </si>
  <si>
    <t>Кредиторская зад.ть (приобретение медикаметов - иммобилизация животных)</t>
  </si>
  <si>
    <r>
      <t xml:space="preserve"> *ПРИМЕЧАНИЕ: </t>
    </r>
    <r>
      <rPr>
        <sz val="11"/>
        <rFont val="Times New Roman"/>
        <family val="1"/>
      </rPr>
      <t>Подрядные организации определяются путем проведения процедуры торгов</t>
    </r>
  </si>
  <si>
    <t>Директор программы</t>
  </si>
  <si>
    <t>Н.В. Управителев</t>
  </si>
  <si>
    <t>Директор МКУ по УЖКХ</t>
  </si>
  <si>
    <t>И.В. Максюков</t>
  </si>
  <si>
    <t>О.Е. Поспелова, 3-18-52</t>
  </si>
  <si>
    <t>кредиторка</t>
  </si>
  <si>
    <r>
      <t xml:space="preserve">от </t>
    </r>
    <r>
      <rPr>
        <u val="single"/>
        <sz val="14"/>
        <rFont val="Times New Roman"/>
        <family val="1"/>
      </rPr>
      <t xml:space="preserve">________ </t>
    </r>
    <r>
      <rPr>
        <sz val="14"/>
        <rFont val="Times New Roman"/>
        <family val="1"/>
      </rPr>
      <t>2013 № _______</t>
    </r>
  </si>
  <si>
    <r>
      <t>Контракты</t>
    </r>
    <r>
      <rPr>
        <b/>
        <sz val="11"/>
        <color indexed="8"/>
        <rFont val="Times New Roman"/>
        <family val="1"/>
      </rPr>
      <t xml:space="preserve"> 2012 года</t>
    </r>
  </si>
  <si>
    <r>
      <t xml:space="preserve">Нанесение дорожной разметки </t>
    </r>
    <r>
      <rPr>
        <i/>
        <sz val="10"/>
        <color indexed="12"/>
        <rFont val="Times New Roman"/>
        <family val="1"/>
      </rPr>
      <t xml:space="preserve"> (2 раза сезон)</t>
    </r>
  </si>
  <si>
    <r>
      <t>Ремонт городских дорог</t>
    </r>
    <r>
      <rPr>
        <i/>
        <sz val="10"/>
        <color indexed="12"/>
        <rFont val="Times New Roman"/>
        <family val="1"/>
      </rPr>
      <t xml:space="preserve"> (ямочный, текущий)</t>
    </r>
  </si>
  <si>
    <r>
      <t>Ремонт дорожного полотна дорог частного сектора</t>
    </r>
    <r>
      <rPr>
        <i/>
        <sz val="10"/>
        <color indexed="12"/>
        <rFont val="Times New Roman"/>
        <family val="1"/>
      </rPr>
      <t xml:space="preserve"> (грейдерование, отсыпка)</t>
    </r>
  </si>
  <si>
    <r>
      <t>Установка дорожных знаков</t>
    </r>
    <r>
      <rPr>
        <i/>
        <sz val="11"/>
        <color indexed="12"/>
        <rFont val="Times New Roman"/>
        <family val="1"/>
      </rPr>
      <t xml:space="preserve"> (ежегодно по 150 шт.)</t>
    </r>
  </si>
  <si>
    <r>
      <t>Обрезка и валка деревьев</t>
    </r>
    <r>
      <rPr>
        <i/>
        <sz val="9"/>
        <color indexed="12"/>
        <rFont val="Times New Roman"/>
        <family val="1"/>
      </rPr>
      <t xml:space="preserve"> (валка, спиливание, вырезка, формовка и др.)</t>
    </r>
  </si>
  <si>
    <r>
      <t>Озеленение</t>
    </r>
    <r>
      <rPr>
        <i/>
        <sz val="9"/>
        <color indexed="12"/>
        <rFont val="Times New Roman"/>
        <family val="1"/>
      </rPr>
      <t xml:space="preserve"> (посадка цветников, уход, подготовка почвы, заготовка саженцев, форм, конструкций)</t>
    </r>
  </si>
  <si>
    <r>
      <t>Автоуслуги</t>
    </r>
    <r>
      <rPr>
        <i/>
        <sz val="9"/>
        <color indexed="12"/>
        <rFont val="Times New Roman"/>
        <family val="1"/>
      </rPr>
      <t xml:space="preserve"> (для подвоза воды населению частного сектора, услуги спецавтотранспорта)</t>
    </r>
  </si>
  <si>
    <r>
      <t>Содержание территории Молодежного бульвара</t>
    </r>
    <r>
      <rPr>
        <i/>
        <sz val="11"/>
        <rFont val="Times New Roman"/>
        <family val="1"/>
      </rPr>
      <t xml:space="preserve"> (дворники)</t>
    </r>
  </si>
  <si>
    <r>
      <t xml:space="preserve">Санитарное содержание детских площадок </t>
    </r>
    <r>
      <rPr>
        <i/>
        <sz val="11"/>
        <color indexed="12"/>
        <rFont val="Times New Roman"/>
        <family val="1"/>
      </rPr>
      <t>(муниципальных)</t>
    </r>
  </si>
  <si>
    <r>
      <t>Текущий ремонт детских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и спортивных</t>
    </r>
    <r>
      <rPr>
        <sz val="11"/>
        <color indexed="12"/>
        <rFont val="Times New Roman"/>
        <family val="1"/>
      </rPr>
      <t xml:space="preserve">  </t>
    </r>
    <r>
      <rPr>
        <sz val="11"/>
        <rFont val="Times New Roman"/>
        <family val="1"/>
      </rPr>
      <t>площадок</t>
    </r>
  </si>
  <si>
    <r>
      <t>Демонтаж элементов оборудования на спортивно-игровых</t>
    </r>
    <r>
      <rPr>
        <b/>
        <sz val="11"/>
        <rFont val="Times New Roman"/>
        <family val="1"/>
      </rPr>
      <t xml:space="preserve"> площадках </t>
    </r>
    <r>
      <rPr>
        <sz val="11"/>
        <rFont val="Times New Roman"/>
        <family val="1"/>
      </rPr>
      <t xml:space="preserve"> (96 актов о несоответствии)</t>
    </r>
  </si>
  <si>
    <r>
      <t>Подготовка города к НОВОГОДНИМ праздникам</t>
    </r>
    <r>
      <rPr>
        <i/>
        <sz val="11"/>
        <color indexed="12"/>
        <rFont val="Times New Roman"/>
        <family val="1"/>
      </rPr>
      <t xml:space="preserve"> (оформление, городок, катки)</t>
    </r>
  </si>
  <si>
    <r>
      <t xml:space="preserve">Содержание кладбищ </t>
    </r>
    <r>
      <rPr>
        <i/>
        <sz val="11"/>
        <color indexed="12"/>
        <rFont val="Times New Roman"/>
        <family val="1"/>
      </rPr>
      <t xml:space="preserve"> (сан.очистка)</t>
    </r>
  </si>
  <si>
    <r>
      <t>Ликвидация несанкционированных свалок</t>
    </r>
    <r>
      <rPr>
        <i/>
        <sz val="11"/>
        <color indexed="12"/>
        <rFont val="Times New Roman"/>
        <family val="1"/>
      </rPr>
      <t xml:space="preserve"> (сан.очистка территорий, вывоз)</t>
    </r>
  </si>
  <si>
    <r>
      <t xml:space="preserve">Планировка териитории </t>
    </r>
    <r>
      <rPr>
        <i/>
        <sz val="10"/>
        <color indexed="12"/>
        <rFont val="Times New Roman"/>
        <family val="1"/>
      </rPr>
      <t xml:space="preserve"> (планировка, переэкскавация грунта)</t>
    </r>
  </si>
  <si>
    <t>Обеспечение соответствия автомобильных дорог общего пользования  местного значения города требованиям технических регламентов (при их отсутствии действующим ГОСТам и иными обязательными требованиями); организация и обеспечение безопасности дорожного движения в городе, снижение уровня аварийности.</t>
  </si>
  <si>
    <t>Улучшение состояния объектов внешнего благоустройства, обеспечение санитарно-гигиенического, технологического и эстетического состояния объектов внешнего благоустройства на территории гордского округа в надлежащем уровне.  Увеличение количества детских площадок, соответствующих требованиям безопасности в общем количестве детских площадок городских территорий , увеличение доли благоустроенных дворовых территорий в общем количестве, подлежащих благоустройству дворовых территорий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</si>
</sst>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400]h:mm:ss\ AM/PM"/>
    <numFmt numFmtId="166" formatCode="#,##0.00_р_."/>
    <numFmt numFmtId="167" formatCode="#,##0.0"/>
    <numFmt numFmtId="168" formatCode="00000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000"/>
    <numFmt numFmtId="186" formatCode="mmm/yyyy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;[Red]\-#,##0.00"/>
    <numFmt numFmtId="194" formatCode="0.00;[Red]\-0.00"/>
    <numFmt numFmtId="195" formatCode="_-* #,##0.0_р_._-;\-* #,##0.0_р_._-;_-* &quot;-&quot;??_р_._-;_-@_-"/>
    <numFmt numFmtId="196" formatCode="0.0"/>
    <numFmt numFmtId="197" formatCode="dd/mm/yy;@"/>
    <numFmt numFmtId="198" formatCode="mmm\-yyyy"/>
    <numFmt numFmtId="199" formatCode="_-* #,##0_р_._-;\-* #,##0_р_._-;_-* &quot;-&quot;??_р_._-;_-@_-"/>
    <numFmt numFmtId="200" formatCode="#,##0.000"/>
    <numFmt numFmtId="201" formatCode="0.0%"/>
    <numFmt numFmtId="202" formatCode="#,##0.000_р_."/>
    <numFmt numFmtId="203" formatCode="#,##0.0_р_."/>
    <numFmt numFmtId="204" formatCode="#,##0_р_."/>
    <numFmt numFmtId="205" formatCode="0.0000"/>
    <numFmt numFmtId="206" formatCode="_-* #,##0.0_р_._-;\-* #,##0.0_р_._-;_-* &quot;-&quot;?_р_._-;_-@_-"/>
    <numFmt numFmtId="207" formatCode="#,##0.00_ ;[Red]\-#,##0.00\ "/>
    <numFmt numFmtId="208" formatCode="#,##0.00_ ;\-#,##0.00\ 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#,##0.0000"/>
    <numFmt numFmtId="215" formatCode="0.00_ ;[Red]\-0.00\ "/>
    <numFmt numFmtId="216" formatCode="0.000_ ;[Red]\-0.000\ "/>
    <numFmt numFmtId="217" formatCode="0_ ;[Red]\-0\ 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u val="single"/>
      <sz val="8"/>
      <color indexed="36"/>
      <name val="Times New Roman"/>
      <family val="1"/>
    </font>
    <font>
      <b/>
      <u val="single"/>
      <sz val="11"/>
      <color indexed="36"/>
      <name val="Times New Roman"/>
      <family val="1"/>
    </font>
    <font>
      <u val="single"/>
      <sz val="11"/>
      <color indexed="36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.5"/>
      <color indexed="8"/>
      <name val="Times New Roman"/>
      <family val="1"/>
    </font>
    <font>
      <i/>
      <u val="single"/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Fill="1" applyAlignment="1">
      <alignment horizontal="center" wrapText="1"/>
      <protection/>
    </xf>
    <xf numFmtId="0" fontId="23" fillId="0" borderId="0" xfId="54" applyFont="1" applyFill="1" applyAlignment="1">
      <alignment horizontal="right" vertical="center"/>
      <protection/>
    </xf>
    <xf numFmtId="4" fontId="23" fillId="0" borderId="0" xfId="54" applyNumberFormat="1" applyFont="1" applyFill="1">
      <alignment/>
      <protection/>
    </xf>
    <xf numFmtId="0" fontId="22" fillId="0" borderId="0" xfId="54" applyFont="1" applyFill="1">
      <alignment/>
      <protection/>
    </xf>
    <xf numFmtId="0" fontId="24" fillId="0" borderId="0" xfId="54" applyFont="1" applyFill="1" applyAlignment="1">
      <alignment horizontal="center"/>
      <protection/>
    </xf>
    <xf numFmtId="3" fontId="24" fillId="0" borderId="0" xfId="54" applyNumberFormat="1" applyFont="1" applyFill="1" applyAlignment="1">
      <alignment horizontal="center"/>
      <protection/>
    </xf>
    <xf numFmtId="4" fontId="24" fillId="0" borderId="0" xfId="54" applyNumberFormat="1" applyFont="1" applyFill="1">
      <alignment/>
      <protection/>
    </xf>
    <xf numFmtId="4" fontId="25" fillId="0" borderId="0" xfId="54" applyNumberFormat="1" applyFont="1" applyFill="1">
      <alignment/>
      <protection/>
    </xf>
    <xf numFmtId="0" fontId="22" fillId="0" borderId="0" xfId="54" applyFont="1" applyFill="1" applyAlignment="1">
      <alignment vertical="center"/>
      <protection/>
    </xf>
    <xf numFmtId="0" fontId="26" fillId="0" borderId="0" xfId="0" applyFont="1" applyAlignment="1">
      <alignment horizontal="right"/>
    </xf>
    <xf numFmtId="4" fontId="23" fillId="0" borderId="0" xfId="54" applyNumberFormat="1" applyFont="1" applyFill="1" applyAlignment="1">
      <alignment horizontal="center"/>
      <protection/>
    </xf>
    <xf numFmtId="0" fontId="28" fillId="0" borderId="0" xfId="54" applyFont="1" applyFill="1" applyBorder="1" applyAlignment="1">
      <alignment horizontal="left" vertical="center"/>
      <protection/>
    </xf>
    <xf numFmtId="0" fontId="28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left" vertical="center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28" fillId="0" borderId="0" xfId="54" applyFont="1" applyFill="1" applyBorder="1" applyAlignment="1">
      <alignment horizontal="center" vertical="center"/>
      <protection/>
    </xf>
    <xf numFmtId="3" fontId="28" fillId="0" borderId="0" xfId="54" applyNumberFormat="1" applyFont="1" applyFill="1" applyBorder="1" applyAlignment="1">
      <alignment horizontal="center" vertical="center"/>
      <protection/>
    </xf>
    <xf numFmtId="4" fontId="28" fillId="0" borderId="0" xfId="54" applyNumberFormat="1" applyFont="1" applyFill="1" applyBorder="1" applyAlignment="1">
      <alignment horizontal="left" vertical="center"/>
      <protection/>
    </xf>
    <xf numFmtId="0" fontId="30" fillId="0" borderId="0" xfId="54" applyFont="1" applyFill="1" applyBorder="1" applyAlignment="1">
      <alignment horizontal="left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2"/>
    </xf>
    <xf numFmtId="0" fontId="32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24" fillId="0" borderId="15" xfId="55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49" fontId="22" fillId="0" borderId="13" xfId="55" applyNumberFormat="1" applyFont="1" applyFill="1" applyBorder="1" applyAlignment="1">
      <alignment horizontal="center" vertical="center"/>
      <protection/>
    </xf>
    <xf numFmtId="3" fontId="22" fillId="0" borderId="10" xfId="55" applyNumberFormat="1" applyFont="1" applyFill="1" applyBorder="1" applyAlignment="1">
      <alignment horizontal="center" vertical="center"/>
      <protection/>
    </xf>
    <xf numFmtId="4" fontId="24" fillId="0" borderId="16" xfId="55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49" fontId="36" fillId="0" borderId="13" xfId="55" applyNumberFormat="1" applyFont="1" applyFill="1" applyBorder="1" applyAlignment="1">
      <alignment horizontal="center" vertical="center"/>
      <protection/>
    </xf>
    <xf numFmtId="3" fontId="36" fillId="0" borderId="10" xfId="55" applyNumberFormat="1" applyFont="1" applyFill="1" applyBorder="1" applyAlignment="1">
      <alignment horizontal="center" vertical="center"/>
      <protection/>
    </xf>
    <xf numFmtId="4" fontId="36" fillId="0" borderId="19" xfId="55" applyNumberFormat="1" applyFont="1" applyFill="1" applyBorder="1" applyAlignment="1">
      <alignment horizontal="center" vertical="center"/>
      <protection/>
    </xf>
    <xf numFmtId="4" fontId="35" fillId="0" borderId="19" xfId="54" applyNumberFormat="1" applyFont="1" applyFill="1" applyBorder="1" applyAlignment="1">
      <alignment horizontal="center" vertical="top" wrapText="1"/>
      <protection/>
    </xf>
    <xf numFmtId="0" fontId="36" fillId="0" borderId="0" xfId="54" applyFont="1" applyFill="1" applyAlignment="1">
      <alignment horizontal="center"/>
      <protection/>
    </xf>
    <xf numFmtId="0" fontId="38" fillId="0" borderId="10" xfId="54" applyFont="1" applyFill="1" applyBorder="1" applyAlignment="1">
      <alignment horizontal="center" vertical="center"/>
      <protection/>
    </xf>
    <xf numFmtId="0" fontId="38" fillId="0" borderId="10" xfId="54" applyFont="1" applyFill="1" applyBorder="1" applyAlignment="1">
      <alignment vertical="center" wrapText="1"/>
      <protection/>
    </xf>
    <xf numFmtId="4" fontId="38" fillId="0" borderId="10" xfId="54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vertical="center"/>
    </xf>
    <xf numFmtId="200" fontId="38" fillId="0" borderId="10" xfId="54" applyNumberFormat="1" applyFont="1" applyFill="1" applyBorder="1" applyAlignment="1">
      <alignment horizontal="center" vertical="center"/>
      <protection/>
    </xf>
    <xf numFmtId="4" fontId="40" fillId="0" borderId="11" xfId="54" applyNumberFormat="1" applyFont="1" applyFill="1" applyBorder="1" applyAlignment="1">
      <alignment horizontal="center" vertical="center"/>
      <protection/>
    </xf>
    <xf numFmtId="4" fontId="40" fillId="0" borderId="13" xfId="54" applyNumberFormat="1" applyFont="1" applyFill="1" applyBorder="1" applyAlignment="1">
      <alignment horizontal="center" vertical="center"/>
      <protection/>
    </xf>
    <xf numFmtId="3" fontId="40" fillId="0" borderId="10" xfId="54" applyNumberFormat="1" applyFont="1" applyFill="1" applyBorder="1" applyAlignment="1">
      <alignment horizontal="center" vertical="center"/>
      <protection/>
    </xf>
    <xf numFmtId="4" fontId="40" fillId="0" borderId="20" xfId="54" applyNumberFormat="1" applyFont="1" applyFill="1" applyBorder="1" applyAlignment="1">
      <alignment horizontal="center"/>
      <protection/>
    </xf>
    <xf numFmtId="4" fontId="41" fillId="0" borderId="20" xfId="54" applyNumberFormat="1" applyFont="1" applyFill="1" applyBorder="1" applyAlignment="1">
      <alignment horizontal="center"/>
      <protection/>
    </xf>
    <xf numFmtId="0" fontId="42" fillId="0" borderId="0" xfId="54" applyFont="1" applyFill="1">
      <alignment/>
      <protection/>
    </xf>
    <xf numFmtId="0" fontId="43" fillId="0" borderId="11" xfId="54" applyFont="1" applyFill="1" applyBorder="1" applyAlignment="1">
      <alignment horizontal="center" vertical="center"/>
      <protection/>
    </xf>
    <xf numFmtId="0" fontId="43" fillId="0" borderId="11" xfId="54" applyFont="1" applyFill="1" applyBorder="1" applyAlignment="1">
      <alignment horizontal="center" vertical="center" wrapText="1"/>
      <protection/>
    </xf>
    <xf numFmtId="4" fontId="44" fillId="0" borderId="11" xfId="54" applyNumberFormat="1" applyFont="1" applyFill="1" applyBorder="1" applyAlignment="1">
      <alignment horizontal="center" vertical="center"/>
      <protection/>
    </xf>
    <xf numFmtId="0" fontId="44" fillId="0" borderId="11" xfId="54" applyFont="1" applyFill="1" applyBorder="1" applyAlignment="1">
      <alignment horizontal="center" vertical="center" wrapText="1"/>
      <protection/>
    </xf>
    <xf numFmtId="200" fontId="44" fillId="0" borderId="11" xfId="54" applyNumberFormat="1" applyFont="1" applyFill="1" applyBorder="1" applyAlignment="1">
      <alignment horizontal="center" vertical="center"/>
      <protection/>
    </xf>
    <xf numFmtId="4" fontId="43" fillId="0" borderId="11" xfId="54" applyNumberFormat="1" applyFont="1" applyFill="1" applyBorder="1" applyAlignment="1">
      <alignment horizontal="center" vertical="center"/>
      <protection/>
    </xf>
    <xf numFmtId="4" fontId="45" fillId="0" borderId="14" xfId="54" applyNumberFormat="1" applyFont="1" applyFill="1" applyBorder="1" applyAlignment="1">
      <alignment horizontal="center" vertical="center"/>
      <protection/>
    </xf>
    <xf numFmtId="4" fontId="45" fillId="0" borderId="21" xfId="54" applyNumberFormat="1" applyFont="1" applyFill="1" applyBorder="1" applyAlignment="1">
      <alignment horizontal="center" vertical="center"/>
      <protection/>
    </xf>
    <xf numFmtId="3" fontId="45" fillId="0" borderId="11" xfId="54" applyNumberFormat="1" applyFont="1" applyFill="1" applyBorder="1" applyAlignment="1">
      <alignment horizontal="center" vertical="center"/>
      <protection/>
    </xf>
    <xf numFmtId="4" fontId="45" fillId="0" borderId="19" xfId="54" applyNumberFormat="1" applyFont="1" applyFill="1" applyBorder="1" applyAlignment="1">
      <alignment horizontal="center"/>
      <protection/>
    </xf>
    <xf numFmtId="4" fontId="46" fillId="0" borderId="0" xfId="54" applyNumberFormat="1" applyFont="1" applyFill="1" applyBorder="1" applyAlignment="1">
      <alignment horizontal="center"/>
      <protection/>
    </xf>
    <xf numFmtId="4" fontId="47" fillId="0" borderId="0" xfId="54" applyNumberFormat="1" applyFont="1" applyFill="1">
      <alignment/>
      <protection/>
    </xf>
    <xf numFmtId="0" fontId="47" fillId="0" borderId="0" xfId="54" applyFont="1" applyFill="1">
      <alignment/>
      <protection/>
    </xf>
    <xf numFmtId="0" fontId="38" fillId="0" borderId="14" xfId="54" applyFont="1" applyFill="1" applyBorder="1" applyAlignment="1">
      <alignment horizontal="center" vertical="center"/>
      <protection/>
    </xf>
    <xf numFmtId="0" fontId="38" fillId="0" borderId="14" xfId="54" applyFont="1" applyFill="1" applyBorder="1" applyAlignment="1">
      <alignment horizontal="center" vertical="center" wrapText="1"/>
      <protection/>
    </xf>
    <xf numFmtId="4" fontId="48" fillId="0" borderId="14" xfId="54" applyNumberFormat="1" applyFont="1" applyFill="1" applyBorder="1" applyAlignment="1">
      <alignment horizontal="center" vertical="center"/>
      <protection/>
    </xf>
    <xf numFmtId="0" fontId="48" fillId="0" borderId="14" xfId="54" applyFont="1" applyFill="1" applyBorder="1" applyAlignment="1">
      <alignment horizontal="center" vertical="center" wrapText="1"/>
      <protection/>
    </xf>
    <xf numFmtId="4" fontId="40" fillId="0" borderId="14" xfId="54" applyNumberFormat="1" applyFont="1" applyFill="1" applyBorder="1" applyAlignment="1">
      <alignment horizontal="center" vertical="center"/>
      <protection/>
    </xf>
    <xf numFmtId="4" fontId="40" fillId="0" borderId="22" xfId="54" applyNumberFormat="1" applyFont="1" applyFill="1" applyBorder="1" applyAlignment="1">
      <alignment horizontal="center" vertical="center"/>
      <protection/>
    </xf>
    <xf numFmtId="3" fontId="40" fillId="0" borderId="14" xfId="54" applyNumberFormat="1" applyFont="1" applyFill="1" applyBorder="1" applyAlignment="1">
      <alignment horizontal="center" vertical="center"/>
      <protection/>
    </xf>
    <xf numFmtId="4" fontId="40" fillId="0" borderId="19" xfId="54" applyNumberFormat="1" applyFont="1" applyFill="1" applyBorder="1" applyAlignment="1">
      <alignment horizontal="center"/>
      <protection/>
    </xf>
    <xf numFmtId="4" fontId="41" fillId="0" borderId="0" xfId="54" applyNumberFormat="1" applyFont="1" applyFill="1" applyBorder="1" applyAlignment="1">
      <alignment horizontal="center"/>
      <protection/>
    </xf>
    <xf numFmtId="4" fontId="42" fillId="0" borderId="0" xfId="54" applyNumberFormat="1" applyFont="1" applyFill="1">
      <alignment/>
      <protection/>
    </xf>
    <xf numFmtId="0" fontId="38" fillId="0" borderId="17" xfId="54" applyFont="1" applyFill="1" applyBorder="1" applyAlignment="1">
      <alignment horizontal="center" vertical="center"/>
      <protection/>
    </xf>
    <xf numFmtId="0" fontId="38" fillId="0" borderId="17" xfId="54" applyFont="1" applyFill="1" applyBorder="1" applyAlignment="1">
      <alignment horizontal="center" vertical="center" wrapText="1"/>
      <protection/>
    </xf>
    <xf numFmtId="4" fontId="48" fillId="0" borderId="17" xfId="54" applyNumberFormat="1" applyFont="1" applyFill="1" applyBorder="1" applyAlignment="1">
      <alignment horizontal="center" vertical="center"/>
      <protection/>
    </xf>
    <xf numFmtId="0" fontId="48" fillId="0" borderId="17" xfId="54" applyFont="1" applyFill="1" applyBorder="1" applyAlignment="1">
      <alignment horizontal="center" vertical="center" wrapText="1"/>
      <protection/>
    </xf>
    <xf numFmtId="4" fontId="40" fillId="0" borderId="17" xfId="54" applyNumberFormat="1" applyFont="1" applyFill="1" applyBorder="1" applyAlignment="1">
      <alignment horizontal="center" vertical="center"/>
      <protection/>
    </xf>
    <xf numFmtId="4" fontId="40" fillId="0" borderId="23" xfId="54" applyNumberFormat="1" applyFont="1" applyFill="1" applyBorder="1" applyAlignment="1">
      <alignment horizontal="center" vertical="center"/>
      <protection/>
    </xf>
    <xf numFmtId="3" fontId="40" fillId="0" borderId="17" xfId="54" applyNumberFormat="1" applyFont="1" applyFill="1" applyBorder="1" applyAlignment="1">
      <alignment horizontal="center" vertical="center"/>
      <protection/>
    </xf>
    <xf numFmtId="4" fontId="22" fillId="0" borderId="0" xfId="54" applyNumberFormat="1" applyFont="1" applyFill="1" applyAlignment="1">
      <alignment vertical="center"/>
      <protection/>
    </xf>
    <xf numFmtId="49" fontId="49" fillId="0" borderId="10" xfId="54" applyNumberFormat="1" applyFont="1" applyFill="1" applyBorder="1" applyAlignment="1">
      <alignment horizontal="right" vertical="center"/>
      <protection/>
    </xf>
    <xf numFmtId="49" fontId="49" fillId="0" borderId="10" xfId="54" applyNumberFormat="1" applyFont="1" applyFill="1" applyBorder="1" applyAlignment="1">
      <alignment horizontal="right" vertical="center" wrapText="1"/>
      <protection/>
    </xf>
    <xf numFmtId="4" fontId="50" fillId="0" borderId="10" xfId="54" applyNumberFormat="1" applyFont="1" applyFill="1" applyBorder="1" applyAlignment="1">
      <alignment horizontal="center" vertical="center"/>
      <protection/>
    </xf>
    <xf numFmtId="49" fontId="49" fillId="0" borderId="10" xfId="54" applyNumberFormat="1" applyFont="1" applyFill="1" applyBorder="1" applyAlignment="1">
      <alignment horizontal="left" vertical="center"/>
      <protection/>
    </xf>
    <xf numFmtId="4" fontId="51" fillId="0" borderId="10" xfId="54" applyNumberFormat="1" applyFont="1" applyFill="1" applyBorder="1" applyAlignment="1">
      <alignment horizontal="center" vertical="center" wrapText="1"/>
      <protection/>
    </xf>
    <xf numFmtId="4" fontId="51" fillId="0" borderId="13" xfId="54" applyNumberFormat="1" applyFont="1" applyFill="1" applyBorder="1" applyAlignment="1">
      <alignment horizontal="center" vertical="center" wrapText="1"/>
      <protection/>
    </xf>
    <xf numFmtId="3" fontId="51" fillId="0" borderId="10" xfId="54" applyNumberFormat="1" applyFont="1" applyFill="1" applyBorder="1" applyAlignment="1">
      <alignment horizontal="center" vertical="center" wrapText="1"/>
      <protection/>
    </xf>
    <xf numFmtId="4" fontId="51" fillId="0" borderId="24" xfId="54" applyNumberFormat="1" applyFont="1" applyFill="1" applyBorder="1" applyAlignment="1">
      <alignment horizontal="left" vertical="top" wrapText="1" indent="2"/>
      <protection/>
    </xf>
    <xf numFmtId="4" fontId="50" fillId="0" borderId="25" xfId="54" applyNumberFormat="1" applyFont="1" applyFill="1" applyBorder="1" applyAlignment="1">
      <alignment horizontal="center"/>
      <protection/>
    </xf>
    <xf numFmtId="0" fontId="49" fillId="0" borderId="0" xfId="54" applyFont="1" applyFill="1">
      <alignment/>
      <protection/>
    </xf>
    <xf numFmtId="0" fontId="46" fillId="0" borderId="10" xfId="54" applyFont="1" applyFill="1" applyBorder="1" applyAlignment="1">
      <alignment horizontal="center" vertical="center" wrapText="1"/>
      <protection/>
    </xf>
    <xf numFmtId="0" fontId="46" fillId="0" borderId="10" xfId="54" applyFont="1" applyFill="1" applyBorder="1" applyAlignment="1">
      <alignment vertical="center" wrapText="1"/>
      <protection/>
    </xf>
    <xf numFmtId="4" fontId="46" fillId="0" borderId="10" xfId="54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vertical="center"/>
    </xf>
    <xf numFmtId="4" fontId="53" fillId="0" borderId="14" xfId="54" applyNumberFormat="1" applyFont="1" applyFill="1" applyBorder="1" applyAlignment="1">
      <alignment horizontal="center" vertical="center" textRotation="90"/>
      <protection/>
    </xf>
    <xf numFmtId="4" fontId="45" fillId="0" borderId="13" xfId="54" applyNumberFormat="1" applyFont="1" applyFill="1" applyBorder="1" applyAlignment="1">
      <alignment horizontal="center" vertical="center" wrapText="1"/>
      <protection/>
    </xf>
    <xf numFmtId="3" fontId="45" fillId="0" borderId="10" xfId="54" applyNumberFormat="1" applyFont="1" applyFill="1" applyBorder="1" applyAlignment="1">
      <alignment horizontal="center" vertical="center" wrapText="1"/>
      <protection/>
    </xf>
    <xf numFmtId="4" fontId="45" fillId="0" borderId="26" xfId="54" applyNumberFormat="1" applyFont="1" applyFill="1" applyBorder="1" applyAlignment="1">
      <alignment horizontal="center" vertical="top" wrapText="1"/>
      <protection/>
    </xf>
    <xf numFmtId="4" fontId="46" fillId="0" borderId="23" xfId="54" applyNumberFormat="1" applyFont="1" applyFill="1" applyBorder="1" applyAlignment="1">
      <alignment horizontal="center" vertical="top" wrapText="1"/>
      <protection/>
    </xf>
    <xf numFmtId="0" fontId="55" fillId="0" borderId="0" xfId="54" applyFont="1" applyFill="1">
      <alignment/>
      <protection/>
    </xf>
    <xf numFmtId="0" fontId="56" fillId="0" borderId="10" xfId="54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4" fontId="34" fillId="0" borderId="10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4" fontId="51" fillId="0" borderId="26" xfId="54" applyNumberFormat="1" applyFont="1" applyFill="1" applyBorder="1" applyAlignment="1">
      <alignment horizontal="center" vertical="top" wrapText="1"/>
      <protection/>
    </xf>
    <xf numFmtId="4" fontId="58" fillId="0" borderId="23" xfId="54" applyNumberFormat="1" applyFont="1" applyFill="1" applyBorder="1" applyAlignment="1">
      <alignment horizontal="center" vertical="top" wrapText="1"/>
      <protection/>
    </xf>
    <xf numFmtId="4" fontId="49" fillId="0" borderId="0" xfId="54" applyNumberFormat="1" applyFont="1" applyFill="1">
      <alignment/>
      <protection/>
    </xf>
    <xf numFmtId="49" fontId="31" fillId="0" borderId="10" xfId="54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left" vertical="center" wrapText="1"/>
      <protection/>
    </xf>
    <xf numFmtId="4" fontId="30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center"/>
    </xf>
    <xf numFmtId="4" fontId="30" fillId="0" borderId="10" xfId="54" applyNumberFormat="1" applyFont="1" applyFill="1" applyBorder="1" applyAlignment="1">
      <alignment horizontal="right" vertical="center" wrapText="1"/>
      <protection/>
    </xf>
    <xf numFmtId="4" fontId="59" fillId="0" borderId="13" xfId="54" applyNumberFormat="1" applyFont="1" applyFill="1" applyBorder="1" applyAlignment="1">
      <alignment horizontal="center" vertical="center" wrapText="1"/>
      <protection/>
    </xf>
    <xf numFmtId="167" fontId="59" fillId="0" borderId="10" xfId="54" applyNumberFormat="1" applyFont="1" applyFill="1" applyBorder="1" applyAlignment="1">
      <alignment horizontal="center" vertical="center" wrapText="1"/>
      <protection/>
    </xf>
    <xf numFmtId="4" fontId="60" fillId="0" borderId="27" xfId="54" applyNumberFormat="1" applyFont="1" applyFill="1" applyBorder="1" applyAlignment="1">
      <alignment horizontal="right" vertical="top" wrapText="1"/>
      <protection/>
    </xf>
    <xf numFmtId="4" fontId="31" fillId="0" borderId="13" xfId="54" applyNumberFormat="1" applyFont="1" applyFill="1" applyBorder="1" applyAlignment="1">
      <alignment horizontal="right" vertical="top" wrapText="1"/>
      <protection/>
    </xf>
    <xf numFmtId="49" fontId="33" fillId="0" borderId="10" xfId="54" applyNumberFormat="1" applyFont="1" applyFill="1" applyBorder="1" applyAlignment="1">
      <alignment horizontal="center" vertical="center" wrapText="1"/>
      <protection/>
    </xf>
    <xf numFmtId="0" fontId="61" fillId="0" borderId="10" xfId="54" applyFont="1" applyFill="1" applyBorder="1" applyAlignment="1">
      <alignment horizontal="center" vertical="center" wrapText="1"/>
      <protection/>
    </xf>
    <xf numFmtId="4" fontId="54" fillId="0" borderId="10" xfId="54" applyNumberFormat="1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right" vertical="center"/>
    </xf>
    <xf numFmtId="4" fontId="54" fillId="0" borderId="10" xfId="54" applyNumberFormat="1" applyFont="1" applyFill="1" applyBorder="1" applyAlignment="1">
      <alignment horizontal="right" vertical="center" wrapText="1"/>
      <protection/>
    </xf>
    <xf numFmtId="4" fontId="31" fillId="0" borderId="10" xfId="54" applyNumberFormat="1" applyFont="1" applyFill="1" applyBorder="1" applyAlignment="1">
      <alignment horizontal="right" vertical="center" wrapText="1"/>
      <protection/>
    </xf>
    <xf numFmtId="4" fontId="31" fillId="0" borderId="10" xfId="54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right" vertical="center"/>
    </xf>
    <xf numFmtId="4" fontId="22" fillId="0" borderId="0" xfId="54" applyNumberFormat="1" applyFont="1" applyFill="1">
      <alignment/>
      <protection/>
    </xf>
    <xf numFmtId="3" fontId="59" fillId="0" borderId="10" xfId="54" applyNumberFormat="1" applyFont="1" applyFill="1" applyBorder="1" applyAlignment="1">
      <alignment horizontal="center" vertical="center" wrapText="1"/>
      <protection/>
    </xf>
    <xf numFmtId="4" fontId="59" fillId="0" borderId="10" xfId="54" applyNumberFormat="1" applyFont="1" applyFill="1" applyBorder="1" applyAlignment="1">
      <alignment horizontal="center" vertical="center" wrapText="1"/>
      <protection/>
    </xf>
    <xf numFmtId="49" fontId="33" fillId="0" borderId="10" xfId="54" applyNumberFormat="1" applyFont="1" applyFill="1" applyBorder="1" applyAlignment="1">
      <alignment horizontal="center" vertical="center"/>
      <protection/>
    </xf>
    <xf numFmtId="4" fontId="60" fillId="0" borderId="13" xfId="54" applyNumberFormat="1" applyFont="1" applyFill="1" applyBorder="1" applyAlignment="1">
      <alignment horizontal="center" vertical="center" wrapText="1"/>
      <protection/>
    </xf>
    <xf numFmtId="3" fontId="60" fillId="0" borderId="10" xfId="54" applyNumberFormat="1" applyFont="1" applyFill="1" applyBorder="1" applyAlignment="1">
      <alignment horizontal="center" vertical="center" wrapText="1"/>
      <protection/>
    </xf>
    <xf numFmtId="49" fontId="56" fillId="0" borderId="10" xfId="54" applyNumberFormat="1" applyFont="1" applyFill="1" applyBorder="1" applyAlignment="1">
      <alignment horizontal="center" vertical="center" wrapText="1"/>
      <protection/>
    </xf>
    <xf numFmtId="0" fontId="56" fillId="0" borderId="10" xfId="55" applyFont="1" applyFill="1" applyBorder="1" applyAlignment="1">
      <alignment horizontal="left" vertical="center" wrapText="1"/>
      <protection/>
    </xf>
    <xf numFmtId="4" fontId="58" fillId="0" borderId="10" xfId="54" applyNumberFormat="1" applyFont="1" applyFill="1" applyBorder="1" applyAlignment="1">
      <alignment horizontal="center" vertical="center" wrapText="1"/>
      <protection/>
    </xf>
    <xf numFmtId="0" fontId="56" fillId="0" borderId="10" xfId="55" applyFont="1" applyFill="1" applyBorder="1" applyAlignment="1">
      <alignment horizontal="right" vertical="center"/>
      <protection/>
    </xf>
    <xf numFmtId="4" fontId="58" fillId="0" borderId="10" xfId="54" applyNumberFormat="1" applyFont="1" applyFill="1" applyBorder="1" applyAlignment="1">
      <alignment horizontal="right" vertical="center" wrapText="1"/>
      <protection/>
    </xf>
    <xf numFmtId="4" fontId="58" fillId="0" borderId="10" xfId="54" applyNumberFormat="1" applyFont="1" applyFill="1" applyBorder="1" applyAlignment="1">
      <alignment horizontal="left" vertical="center" wrapText="1"/>
      <protection/>
    </xf>
    <xf numFmtId="4" fontId="65" fillId="0" borderId="13" xfId="54" applyNumberFormat="1" applyFont="1" applyFill="1" applyBorder="1" applyAlignment="1">
      <alignment horizontal="center" vertical="center" wrapText="1"/>
      <protection/>
    </xf>
    <xf numFmtId="3" fontId="65" fillId="0" borderId="10" xfId="54" applyNumberFormat="1" applyFont="1" applyFill="1" applyBorder="1" applyAlignment="1">
      <alignment horizontal="center" vertical="center" wrapText="1"/>
      <protection/>
    </xf>
    <xf numFmtId="4" fontId="65" fillId="0" borderId="27" xfId="54" applyNumberFormat="1" applyFont="1" applyFill="1" applyBorder="1" applyAlignment="1">
      <alignment horizontal="left" vertical="top" wrapText="1" indent="2"/>
      <protection/>
    </xf>
    <xf numFmtId="4" fontId="58" fillId="0" borderId="13" xfId="54" applyNumberFormat="1" applyFont="1" applyFill="1" applyBorder="1" applyAlignment="1">
      <alignment horizontal="left" vertical="top" wrapText="1" indent="2"/>
      <protection/>
    </xf>
    <xf numFmtId="0" fontId="56" fillId="0" borderId="0" xfId="54" applyFont="1" applyFill="1">
      <alignment/>
      <protection/>
    </xf>
    <xf numFmtId="49" fontId="49" fillId="0" borderId="11" xfId="54" applyNumberFormat="1" applyFont="1" applyFill="1" applyBorder="1" applyAlignment="1">
      <alignment horizontal="center" vertical="center" wrapText="1"/>
      <protection/>
    </xf>
    <xf numFmtId="0" fontId="49" fillId="0" borderId="11" xfId="55" applyFont="1" applyFill="1" applyBorder="1" applyAlignment="1">
      <alignment horizontal="left" vertical="center" wrapText="1"/>
      <protection/>
    </xf>
    <xf numFmtId="4" fontId="34" fillId="0" borderId="11" xfId="54" applyNumberFormat="1" applyFont="1" applyFill="1" applyBorder="1" applyAlignment="1">
      <alignment horizontal="center" vertical="center" wrapText="1"/>
      <protection/>
    </xf>
    <xf numFmtId="0" fontId="49" fillId="0" borderId="11" xfId="55" applyFont="1" applyFill="1" applyBorder="1" applyAlignment="1">
      <alignment horizontal="left" vertical="center"/>
      <protection/>
    </xf>
    <xf numFmtId="4" fontId="34" fillId="0" borderId="11" xfId="54" applyNumberFormat="1" applyFont="1" applyFill="1" applyBorder="1" applyAlignment="1">
      <alignment horizontal="right" vertical="center" wrapText="1"/>
      <protection/>
    </xf>
    <xf numFmtId="4" fontId="58" fillId="0" borderId="11" xfId="54" applyNumberFormat="1" applyFont="1" applyFill="1" applyBorder="1" applyAlignment="1">
      <alignment horizontal="right" vertical="center" wrapText="1"/>
      <protection/>
    </xf>
    <xf numFmtId="4" fontId="58" fillId="0" borderId="11" xfId="54" applyNumberFormat="1" applyFont="1" applyFill="1" applyBorder="1" applyAlignment="1">
      <alignment horizontal="left" vertical="center" wrapText="1"/>
      <protection/>
    </xf>
    <xf numFmtId="4" fontId="51" fillId="0" borderId="21" xfId="54" applyNumberFormat="1" applyFont="1" applyFill="1" applyBorder="1" applyAlignment="1">
      <alignment horizontal="center" vertical="center" wrapText="1"/>
      <protection/>
    </xf>
    <xf numFmtId="3" fontId="51" fillId="0" borderId="11" xfId="54" applyNumberFormat="1" applyFont="1" applyFill="1" applyBorder="1" applyAlignment="1">
      <alignment horizontal="center" vertical="center" wrapText="1"/>
      <protection/>
    </xf>
    <xf numFmtId="4" fontId="51" fillId="0" borderId="27" xfId="54" applyNumberFormat="1" applyFont="1" applyFill="1" applyBorder="1" applyAlignment="1">
      <alignment horizontal="left" vertical="top" wrapText="1" indent="2"/>
      <protection/>
    </xf>
    <xf numFmtId="4" fontId="34" fillId="0" borderId="13" xfId="54" applyNumberFormat="1" applyFont="1" applyFill="1" applyBorder="1" applyAlignment="1">
      <alignment horizontal="left" vertical="top" wrapText="1" indent="2"/>
      <protection/>
    </xf>
    <xf numFmtId="49" fontId="49" fillId="0" borderId="14" xfId="54" applyNumberFormat="1" applyFont="1" applyFill="1" applyBorder="1" applyAlignment="1">
      <alignment horizontal="center" vertical="center" wrapText="1"/>
      <protection/>
    </xf>
    <xf numFmtId="0" fontId="49" fillId="0" borderId="14" xfId="55" applyFont="1" applyFill="1" applyBorder="1" applyAlignment="1">
      <alignment horizontal="left" vertical="center" wrapText="1"/>
      <protection/>
    </xf>
    <xf numFmtId="4" fontId="34" fillId="0" borderId="14" xfId="54" applyNumberFormat="1" applyFont="1" applyFill="1" applyBorder="1" applyAlignment="1">
      <alignment horizontal="center" vertical="center" wrapText="1"/>
      <protection/>
    </xf>
    <xf numFmtId="0" fontId="49" fillId="0" borderId="14" xfId="55" applyFont="1" applyFill="1" applyBorder="1" applyAlignment="1">
      <alignment horizontal="left" vertical="center"/>
      <protection/>
    </xf>
    <xf numFmtId="4" fontId="34" fillId="0" borderId="14" xfId="54" applyNumberFormat="1" applyFont="1" applyFill="1" applyBorder="1" applyAlignment="1">
      <alignment horizontal="right" vertical="center" wrapText="1"/>
      <protection/>
    </xf>
    <xf numFmtId="4" fontId="58" fillId="0" borderId="14" xfId="54" applyNumberFormat="1" applyFont="1" applyFill="1" applyBorder="1" applyAlignment="1">
      <alignment horizontal="right" vertical="center" wrapText="1"/>
      <protection/>
    </xf>
    <xf numFmtId="4" fontId="58" fillId="0" borderId="14" xfId="54" applyNumberFormat="1" applyFont="1" applyFill="1" applyBorder="1" applyAlignment="1">
      <alignment horizontal="left" vertical="center" wrapText="1"/>
      <protection/>
    </xf>
    <xf numFmtId="4" fontId="51" fillId="0" borderId="22" xfId="54" applyNumberFormat="1" applyFont="1" applyFill="1" applyBorder="1" applyAlignment="1">
      <alignment horizontal="center" vertical="center" wrapText="1"/>
      <protection/>
    </xf>
    <xf numFmtId="3" fontId="51" fillId="0" borderId="14" xfId="54" applyNumberFormat="1" applyFont="1" applyFill="1" applyBorder="1" applyAlignment="1">
      <alignment horizontal="center" vertical="center" wrapText="1"/>
      <protection/>
    </xf>
    <xf numFmtId="49" fontId="49" fillId="0" borderId="17" xfId="54" applyNumberFormat="1" applyFont="1" applyFill="1" applyBorder="1" applyAlignment="1">
      <alignment horizontal="center" vertical="center" wrapText="1"/>
      <protection/>
    </xf>
    <xf numFmtId="0" fontId="49" fillId="0" borderId="17" xfId="55" applyFont="1" applyFill="1" applyBorder="1" applyAlignment="1">
      <alignment horizontal="left" vertical="center" wrapText="1"/>
      <protection/>
    </xf>
    <xf numFmtId="4" fontId="34" fillId="0" borderId="17" xfId="54" applyNumberFormat="1" applyFont="1" applyFill="1" applyBorder="1" applyAlignment="1">
      <alignment horizontal="center" vertical="center" wrapText="1"/>
      <protection/>
    </xf>
    <xf numFmtId="0" fontId="49" fillId="0" borderId="17" xfId="55" applyFont="1" applyFill="1" applyBorder="1" applyAlignment="1">
      <alignment horizontal="left" vertical="center"/>
      <protection/>
    </xf>
    <xf numFmtId="4" fontId="34" fillId="0" borderId="17" xfId="54" applyNumberFormat="1" applyFont="1" applyFill="1" applyBorder="1" applyAlignment="1">
      <alignment horizontal="right" vertical="center" wrapText="1"/>
      <protection/>
    </xf>
    <xf numFmtId="4" fontId="58" fillId="0" borderId="17" xfId="54" applyNumberFormat="1" applyFont="1" applyFill="1" applyBorder="1" applyAlignment="1">
      <alignment horizontal="left" vertical="center" wrapText="1"/>
      <protection/>
    </xf>
    <xf numFmtId="4" fontId="51" fillId="0" borderId="23" xfId="54" applyNumberFormat="1" applyFont="1" applyFill="1" applyBorder="1" applyAlignment="1">
      <alignment horizontal="center" vertical="center" wrapText="1"/>
      <protection/>
    </xf>
    <xf numFmtId="3" fontId="51" fillId="0" borderId="17" xfId="54" applyNumberFormat="1" applyFont="1" applyFill="1" applyBorder="1" applyAlignment="1">
      <alignment horizontal="center" vertical="center" wrapText="1"/>
      <protection/>
    </xf>
    <xf numFmtId="4" fontId="45" fillId="0" borderId="27" xfId="54" applyNumberFormat="1" applyFont="1" applyFill="1" applyBorder="1" applyAlignment="1">
      <alignment horizontal="center" vertical="top" wrapText="1"/>
      <protection/>
    </xf>
    <xf numFmtId="4" fontId="46" fillId="0" borderId="13" xfId="54" applyNumberFormat="1" applyFont="1" applyFill="1" applyBorder="1" applyAlignment="1">
      <alignment horizontal="center" vertical="top" wrapText="1"/>
      <protection/>
    </xf>
    <xf numFmtId="0" fontId="56" fillId="0" borderId="10" xfId="54" applyFont="1" applyFill="1" applyBorder="1" applyAlignment="1">
      <alignment horizontal="center" vertical="center"/>
      <protection/>
    </xf>
    <xf numFmtId="4" fontId="51" fillId="0" borderId="27" xfId="54" applyNumberFormat="1" applyFont="1" applyFill="1" applyBorder="1" applyAlignment="1">
      <alignment horizontal="center" vertical="top" wrapText="1"/>
      <protection/>
    </xf>
    <xf numFmtId="4" fontId="58" fillId="0" borderId="13" xfId="54" applyNumberFormat="1" applyFont="1" applyFill="1" applyBorder="1" applyAlignment="1">
      <alignment horizontal="center" vertical="top" wrapText="1"/>
      <protection/>
    </xf>
    <xf numFmtId="4" fontId="66" fillId="0" borderId="13" xfId="54" applyNumberFormat="1" applyFont="1" applyFill="1" applyBorder="1" applyAlignment="1">
      <alignment horizontal="center" vertical="center" wrapText="1"/>
      <protection/>
    </xf>
    <xf numFmtId="3" fontId="66" fillId="0" borderId="10" xfId="54" applyNumberFormat="1" applyFont="1" applyFill="1" applyBorder="1" applyAlignment="1">
      <alignment horizontal="center" vertical="center" wrapText="1"/>
      <protection/>
    </xf>
    <xf numFmtId="4" fontId="67" fillId="0" borderId="27" xfId="54" applyNumberFormat="1" applyFont="1" applyFill="1" applyBorder="1" applyAlignment="1">
      <alignment horizontal="right" vertical="top" wrapText="1"/>
      <protection/>
    </xf>
    <xf numFmtId="3" fontId="67" fillId="0" borderId="10" xfId="54" applyNumberFormat="1" applyFont="1" applyFill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/>
      <protection/>
    </xf>
    <xf numFmtId="3" fontId="59" fillId="0" borderId="13" xfId="54" applyNumberFormat="1" applyFont="1" applyFill="1" applyBorder="1" applyAlignment="1">
      <alignment horizontal="center" vertical="center" wrapText="1"/>
      <protection/>
    </xf>
    <xf numFmtId="3" fontId="60" fillId="0" borderId="13" xfId="54" applyNumberFormat="1" applyFont="1" applyFill="1" applyBorder="1" applyAlignment="1">
      <alignment horizontal="center" vertical="center" wrapText="1"/>
      <protection/>
    </xf>
    <xf numFmtId="4" fontId="59" fillId="0" borderId="27" xfId="54" applyNumberFormat="1" applyFont="1" applyFill="1" applyBorder="1" applyAlignment="1">
      <alignment horizontal="right" vertical="top" wrapText="1"/>
      <protection/>
    </xf>
    <xf numFmtId="3" fontId="60" fillId="0" borderId="21" xfId="54" applyNumberFormat="1" applyFont="1" applyFill="1" applyBorder="1" applyAlignment="1">
      <alignment horizontal="center" vertical="center" wrapText="1"/>
      <protection/>
    </xf>
    <xf numFmtId="3" fontId="67" fillId="0" borderId="11" xfId="54" applyNumberFormat="1" applyFont="1" applyFill="1" applyBorder="1" applyAlignment="1">
      <alignment horizontal="center" vertical="center" wrapText="1"/>
      <protection/>
    </xf>
    <xf numFmtId="4" fontId="60" fillId="0" borderId="21" xfId="54" applyNumberFormat="1" applyFont="1" applyFill="1" applyBorder="1" applyAlignment="1">
      <alignment horizontal="center" vertical="center" wrapText="1"/>
      <protection/>
    </xf>
    <xf numFmtId="4" fontId="25" fillId="0" borderId="10" xfId="54" applyNumberFormat="1" applyFont="1" applyFill="1" applyBorder="1" applyAlignment="1">
      <alignment horizontal="right" vertical="center" wrapText="1"/>
      <protection/>
    </xf>
    <xf numFmtId="4" fontId="68" fillId="0" borderId="14" xfId="54" applyNumberFormat="1" applyFont="1" applyFill="1" applyBorder="1" applyAlignment="1">
      <alignment horizontal="center" vertical="top" wrapText="1"/>
      <protection/>
    </xf>
    <xf numFmtId="4" fontId="34" fillId="0" borderId="14" xfId="54" applyNumberFormat="1" applyFont="1" applyFill="1" applyBorder="1" applyAlignment="1">
      <alignment horizontal="center" vertical="top" wrapText="1"/>
      <protection/>
    </xf>
    <xf numFmtId="49" fontId="49" fillId="0" borderId="11" xfId="54" applyNumberFormat="1" applyFont="1" applyFill="1" applyBorder="1" applyAlignment="1">
      <alignment horizontal="center" vertical="center"/>
      <protection/>
    </xf>
    <xf numFmtId="0" fontId="49" fillId="0" borderId="11" xfId="54" applyFont="1" applyFill="1" applyBorder="1" applyAlignment="1">
      <alignment horizontal="left" vertical="center" wrapText="1"/>
      <protection/>
    </xf>
    <xf numFmtId="0" fontId="49" fillId="0" borderId="11" xfId="54" applyFont="1" applyFill="1" applyBorder="1" applyAlignment="1">
      <alignment horizontal="right" vertical="center"/>
      <protection/>
    </xf>
    <xf numFmtId="0" fontId="49" fillId="0" borderId="14" xfId="54" applyFont="1" applyFill="1" applyBorder="1" applyAlignment="1">
      <alignment horizontal="center" vertical="center"/>
      <protection/>
    </xf>
    <xf numFmtId="0" fontId="49" fillId="0" borderId="14" xfId="54" applyFont="1" applyFill="1" applyBorder="1" applyAlignment="1">
      <alignment horizontal="left" vertical="center" wrapText="1"/>
      <protection/>
    </xf>
    <xf numFmtId="0" fontId="49" fillId="0" borderId="14" xfId="54" applyFont="1" applyFill="1" applyBorder="1" applyAlignment="1">
      <alignment horizontal="right" vertical="center"/>
      <protection/>
    </xf>
    <xf numFmtId="49" fontId="49" fillId="0" borderId="17" xfId="54" applyNumberFormat="1" applyFont="1" applyFill="1" applyBorder="1" applyAlignment="1">
      <alignment horizontal="center" vertical="center"/>
      <protection/>
    </xf>
    <xf numFmtId="0" fontId="49" fillId="0" borderId="17" xfId="54" applyFont="1" applyFill="1" applyBorder="1" applyAlignment="1">
      <alignment horizontal="left" vertical="center" wrapText="1"/>
      <protection/>
    </xf>
    <xf numFmtId="0" fontId="49" fillId="0" borderId="17" xfId="54" applyFont="1" applyFill="1" applyBorder="1" applyAlignment="1">
      <alignment horizontal="right" vertical="center"/>
      <protection/>
    </xf>
    <xf numFmtId="4" fontId="58" fillId="0" borderId="17" xfId="54" applyNumberFormat="1" applyFont="1" applyFill="1" applyBorder="1" applyAlignment="1">
      <alignment horizontal="right" vertical="center" wrapText="1"/>
      <protection/>
    </xf>
    <xf numFmtId="4" fontId="34" fillId="0" borderId="17" xfId="54" applyNumberFormat="1" applyFont="1" applyFill="1" applyBorder="1" applyAlignment="1">
      <alignment horizontal="center" vertical="top" wrapText="1"/>
      <protection/>
    </xf>
    <xf numFmtId="0" fontId="52" fillId="0" borderId="0" xfId="54" applyFont="1" applyFill="1">
      <alignment/>
      <protection/>
    </xf>
    <xf numFmtId="4" fontId="56" fillId="0" borderId="0" xfId="54" applyNumberFormat="1" applyFont="1" applyFill="1">
      <alignment/>
      <protection/>
    </xf>
    <xf numFmtId="0" fontId="49" fillId="0" borderId="11" xfId="54" applyFont="1" applyFill="1" applyBorder="1" applyAlignment="1">
      <alignment horizontal="left" vertical="center"/>
      <protection/>
    </xf>
    <xf numFmtId="4" fontId="34" fillId="0" borderId="11" xfId="54" applyNumberFormat="1" applyFont="1" applyFill="1" applyBorder="1" applyAlignment="1">
      <alignment horizontal="left" vertical="center" wrapText="1"/>
      <protection/>
    </xf>
    <xf numFmtId="0" fontId="49" fillId="0" borderId="17" xfId="54" applyFont="1" applyFill="1" applyBorder="1" applyAlignment="1">
      <alignment horizontal="left" vertical="center"/>
      <protection/>
    </xf>
    <xf numFmtId="4" fontId="34" fillId="0" borderId="17" xfId="54" applyNumberFormat="1" applyFont="1" applyFill="1" applyBorder="1" applyAlignment="1">
      <alignment horizontal="left" vertical="center" wrapText="1"/>
      <protection/>
    </xf>
    <xf numFmtId="167" fontId="60" fillId="0" borderId="10" xfId="54" applyNumberFormat="1" applyFont="1" applyFill="1" applyBorder="1" applyAlignment="1">
      <alignment horizontal="center" vertical="center" wrapText="1"/>
      <protection/>
    </xf>
    <xf numFmtId="200" fontId="30" fillId="0" borderId="10" xfId="54" applyNumberFormat="1" applyFont="1" applyFill="1" applyBorder="1" applyAlignment="1">
      <alignment horizontal="right" vertical="center" wrapText="1"/>
      <protection/>
    </xf>
    <xf numFmtId="200" fontId="30" fillId="0" borderId="11" xfId="54" applyNumberFormat="1" applyFont="1" applyFill="1" applyBorder="1" applyAlignment="1">
      <alignment horizontal="right" vertical="center" wrapText="1"/>
      <protection/>
    </xf>
    <xf numFmtId="4" fontId="30" fillId="0" borderId="11" xfId="54" applyNumberFormat="1" applyFont="1" applyFill="1" applyBorder="1" applyAlignment="1">
      <alignment horizontal="right" vertical="center" wrapText="1"/>
      <protection/>
    </xf>
    <xf numFmtId="4" fontId="59" fillId="0" borderId="21" xfId="54" applyNumberFormat="1" applyFont="1" applyFill="1" applyBorder="1" applyAlignment="1">
      <alignment horizontal="center" vertical="center" wrapText="1"/>
      <protection/>
    </xf>
    <xf numFmtId="3" fontId="59" fillId="0" borderId="11" xfId="54" applyNumberFormat="1" applyFont="1" applyFill="1" applyBorder="1" applyAlignment="1">
      <alignment horizontal="center" vertical="center" wrapText="1"/>
      <protection/>
    </xf>
    <xf numFmtId="200" fontId="54" fillId="0" borderId="10" xfId="54" applyNumberFormat="1" applyFont="1" applyFill="1" applyBorder="1" applyAlignment="1">
      <alignment horizontal="right" vertical="center" wrapText="1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4" fontId="72" fillId="0" borderId="13" xfId="54" applyNumberFormat="1" applyFont="1" applyFill="1" applyBorder="1" applyAlignment="1">
      <alignment horizontal="center" vertical="center" wrapText="1"/>
      <protection/>
    </xf>
    <xf numFmtId="3" fontId="72" fillId="0" borderId="10" xfId="54" applyNumberFormat="1" applyFont="1" applyFill="1" applyBorder="1" applyAlignment="1">
      <alignment horizontal="center" vertical="center" wrapText="1"/>
      <protection/>
    </xf>
    <xf numFmtId="4" fontId="24" fillId="0" borderId="13" xfId="54" applyNumberFormat="1" applyFont="1" applyFill="1" applyBorder="1" applyAlignment="1">
      <alignment horizontal="center" vertical="center" wrapText="1"/>
      <protection/>
    </xf>
    <xf numFmtId="3" fontId="24" fillId="0" borderId="10" xfId="54" applyNumberFormat="1" applyFont="1" applyFill="1" applyBorder="1" applyAlignment="1">
      <alignment horizontal="center" vertical="center" wrapText="1"/>
      <protection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left" vertical="center" wrapText="1"/>
      <protection/>
    </xf>
    <xf numFmtId="0" fontId="73" fillId="0" borderId="10" xfId="54" applyFont="1" applyFill="1" applyBorder="1" applyAlignment="1">
      <alignment horizontal="left" vertical="center" wrapText="1"/>
      <protection/>
    </xf>
    <xf numFmtId="4" fontId="53" fillId="0" borderId="17" xfId="54" applyNumberFormat="1" applyFont="1" applyFill="1" applyBorder="1" applyAlignment="1">
      <alignment horizontal="center" vertical="center" textRotation="90"/>
      <protection/>
    </xf>
    <xf numFmtId="4" fontId="53" fillId="0" borderId="10" xfId="54" applyNumberFormat="1" applyFont="1" applyFill="1" applyBorder="1" applyAlignment="1">
      <alignment horizontal="center" vertical="center" textRotation="90"/>
      <protection/>
    </xf>
    <xf numFmtId="4" fontId="34" fillId="0" borderId="11" xfId="54" applyNumberFormat="1" applyFont="1" applyFill="1" applyBorder="1" applyAlignment="1">
      <alignment horizontal="center" vertical="top" wrapText="1"/>
      <protection/>
    </xf>
    <xf numFmtId="4" fontId="34" fillId="0" borderId="11" xfId="54" applyNumberFormat="1" applyFont="1" applyFill="1" applyBorder="1" applyAlignment="1">
      <alignment horizontal="left" vertical="top" wrapText="1"/>
      <protection/>
    </xf>
    <xf numFmtId="4" fontId="58" fillId="0" borderId="28" xfId="54" applyNumberFormat="1" applyFont="1" applyFill="1" applyBorder="1" applyAlignment="1">
      <alignment horizontal="left" vertical="center" textRotation="90" wrapText="1"/>
      <protection/>
    </xf>
    <xf numFmtId="49" fontId="49" fillId="0" borderId="14" xfId="54" applyNumberFormat="1" applyFont="1" applyFill="1" applyBorder="1" applyAlignment="1">
      <alignment horizontal="center" vertical="center"/>
      <protection/>
    </xf>
    <xf numFmtId="4" fontId="34" fillId="0" borderId="14" xfId="54" applyNumberFormat="1" applyFont="1" applyFill="1" applyBorder="1" applyAlignment="1">
      <alignment horizontal="left" vertical="top" wrapText="1"/>
      <protection/>
    </xf>
    <xf numFmtId="4" fontId="34" fillId="0" borderId="17" xfId="54" applyNumberFormat="1" applyFont="1" applyFill="1" applyBorder="1" applyAlignment="1">
      <alignment horizontal="left" vertical="top" wrapText="1"/>
      <protection/>
    </xf>
    <xf numFmtId="4" fontId="58" fillId="0" borderId="28" xfId="54" applyNumberFormat="1" applyFont="1" applyFill="1" applyBorder="1" applyAlignment="1">
      <alignment horizontal="left" vertical="center" wrapText="1"/>
      <protection/>
    </xf>
    <xf numFmtId="0" fontId="74" fillId="0" borderId="0" xfId="54" applyFont="1" applyFill="1" applyAlignment="1">
      <alignment/>
      <protection/>
    </xf>
    <xf numFmtId="0" fontId="74" fillId="0" borderId="0" xfId="54" applyFont="1" applyFill="1" applyAlignment="1">
      <alignment horizontal="center"/>
      <protection/>
    </xf>
    <xf numFmtId="4" fontId="23" fillId="0" borderId="29" xfId="54" applyNumberFormat="1" applyFont="1" applyFill="1" applyBorder="1">
      <alignment/>
      <protection/>
    </xf>
    <xf numFmtId="4" fontId="23" fillId="0" borderId="0" xfId="54" applyNumberFormat="1" applyFont="1" applyFill="1" applyBorder="1">
      <alignment/>
      <protection/>
    </xf>
    <xf numFmtId="0" fontId="75" fillId="0" borderId="0" xfId="54" applyFont="1" applyFill="1" applyAlignment="1">
      <alignment horizontal="center"/>
      <protection/>
    </xf>
    <xf numFmtId="0" fontId="75" fillId="0" borderId="0" xfId="54" applyFont="1" applyFill="1" applyAlignment="1">
      <alignment wrapText="1"/>
      <protection/>
    </xf>
    <xf numFmtId="0" fontId="75" fillId="0" borderId="0" xfId="54" applyFont="1" applyFill="1" applyAlignment="1">
      <alignment horizontal="center" wrapText="1"/>
      <protection/>
    </xf>
    <xf numFmtId="0" fontId="76" fillId="0" borderId="0" xfId="54" applyFont="1" applyFill="1" applyAlignment="1">
      <alignment vertical="center"/>
      <protection/>
    </xf>
    <xf numFmtId="4" fontId="75" fillId="0" borderId="0" xfId="54" applyNumberFormat="1" applyFont="1" applyFill="1">
      <alignment/>
      <protection/>
    </xf>
    <xf numFmtId="4" fontId="77" fillId="0" borderId="0" xfId="54" applyNumberFormat="1" applyFont="1" applyFill="1">
      <alignment/>
      <protection/>
    </xf>
    <xf numFmtId="3" fontId="75" fillId="0" borderId="0" xfId="54" applyNumberFormat="1" applyFont="1" applyFill="1" applyAlignment="1">
      <alignment horizontal="center"/>
      <protection/>
    </xf>
    <xf numFmtId="0" fontId="75" fillId="0" borderId="0" xfId="54" applyFont="1" applyFill="1">
      <alignment/>
      <protection/>
    </xf>
    <xf numFmtId="0" fontId="75" fillId="0" borderId="0" xfId="54" applyFont="1" applyFill="1" applyAlignment="1">
      <alignment horizontal="left" wrapText="1"/>
      <protection/>
    </xf>
    <xf numFmtId="0" fontId="75" fillId="0" borderId="0" xfId="54" applyFont="1" applyFill="1" applyAlignment="1">
      <alignment horizontal="left" vertical="center"/>
      <protection/>
    </xf>
    <xf numFmtId="43" fontId="75" fillId="0" borderId="0" xfId="54" applyNumberFormat="1" applyFont="1" applyFill="1" applyBorder="1" applyAlignment="1">
      <alignment horizontal="center"/>
      <protection/>
    </xf>
    <xf numFmtId="3" fontId="75" fillId="0" borderId="0" xfId="54" applyNumberFormat="1" applyFont="1" applyFill="1" applyBorder="1" applyAlignment="1">
      <alignment horizontal="center"/>
      <protection/>
    </xf>
    <xf numFmtId="4" fontId="75" fillId="0" borderId="0" xfId="54" applyNumberFormat="1" applyFont="1" applyFill="1" applyBorder="1">
      <alignment/>
      <protection/>
    </xf>
    <xf numFmtId="0" fontId="76" fillId="0" borderId="0" xfId="54" applyFont="1" applyFill="1" applyAlignment="1">
      <alignment horizontal="center"/>
      <protection/>
    </xf>
    <xf numFmtId="0" fontId="76" fillId="0" borderId="0" xfId="54" applyFont="1" applyFill="1" applyAlignment="1">
      <alignment wrapText="1"/>
      <protection/>
    </xf>
    <xf numFmtId="0" fontId="76" fillId="0" borderId="0" xfId="54" applyFont="1" applyFill="1" applyAlignment="1">
      <alignment horizontal="center" wrapText="1"/>
      <protection/>
    </xf>
    <xf numFmtId="4" fontId="78" fillId="0" borderId="0" xfId="54" applyNumberFormat="1" applyFont="1" applyFill="1">
      <alignment/>
      <protection/>
    </xf>
    <xf numFmtId="0" fontId="79" fillId="0" borderId="0" xfId="54" applyFont="1" applyFill="1" applyAlignment="1">
      <alignment horizontal="center"/>
      <protection/>
    </xf>
    <xf numFmtId="3" fontId="79" fillId="0" borderId="0" xfId="54" applyNumberFormat="1" applyFont="1" applyFill="1" applyAlignment="1">
      <alignment horizontal="center"/>
      <protection/>
    </xf>
    <xf numFmtId="4" fontId="79" fillId="0" borderId="0" xfId="54" applyNumberFormat="1" applyFont="1" applyFill="1">
      <alignment/>
      <protection/>
    </xf>
    <xf numFmtId="4" fontId="80" fillId="0" borderId="0" xfId="54" applyNumberFormat="1" applyFont="1" applyFill="1">
      <alignment/>
      <protection/>
    </xf>
    <xf numFmtId="0" fontId="76" fillId="0" borderId="0" xfId="54" applyFont="1" applyFill="1">
      <alignment/>
      <protection/>
    </xf>
    <xf numFmtId="4" fontId="80" fillId="0" borderId="0" xfId="54" applyNumberFormat="1" applyFont="1" applyFill="1" applyAlignment="1">
      <alignment horizontal="center"/>
      <protection/>
    </xf>
    <xf numFmtId="0" fontId="80" fillId="0" borderId="0" xfId="54" applyFont="1" applyFill="1" applyAlignment="1">
      <alignment horizontal="left" vertical="center"/>
      <protection/>
    </xf>
    <xf numFmtId="43" fontId="79" fillId="0" borderId="0" xfId="54" applyNumberFormat="1" applyFont="1" applyFill="1" applyAlignment="1">
      <alignment horizontal="center"/>
      <protection/>
    </xf>
    <xf numFmtId="0" fontId="22" fillId="0" borderId="0" xfId="54" applyFont="1" applyFill="1" applyAlignment="1">
      <alignment horizontal="left" wrapText="1"/>
      <protection/>
    </xf>
    <xf numFmtId="0" fontId="22" fillId="0" borderId="0" xfId="54" applyFont="1" applyFill="1" applyAlignment="1">
      <alignment horizontal="left" vertical="center"/>
      <protection/>
    </xf>
    <xf numFmtId="4" fontId="71" fillId="0" borderId="0" xfId="54" applyNumberFormat="1" applyFont="1" applyFill="1">
      <alignment/>
      <protection/>
    </xf>
    <xf numFmtId="4" fontId="56" fillId="0" borderId="0" xfId="54" applyNumberFormat="1" applyFont="1" applyFill="1" applyAlignment="1">
      <alignment horizontal="center"/>
      <protection/>
    </xf>
    <xf numFmtId="43" fontId="24" fillId="0" borderId="0" xfId="54" applyNumberFormat="1" applyFont="1" applyFill="1" applyAlignment="1">
      <alignment horizontal="center"/>
      <protection/>
    </xf>
    <xf numFmtId="4" fontId="25" fillId="0" borderId="18" xfId="54" applyNumberFormat="1" applyFont="1" applyFill="1" applyBorder="1">
      <alignment/>
      <protection/>
    </xf>
    <xf numFmtId="4" fontId="25" fillId="0" borderId="30" xfId="54" applyNumberFormat="1" applyFont="1" applyFill="1" applyBorder="1" applyAlignment="1">
      <alignment horizontal="left" indent="1"/>
      <protection/>
    </xf>
    <xf numFmtId="0" fontId="22" fillId="0" borderId="0" xfId="54" applyFont="1" applyFill="1" applyBorder="1">
      <alignment/>
      <protection/>
    </xf>
    <xf numFmtId="4" fontId="33" fillId="0" borderId="31" xfId="54" applyNumberFormat="1" applyFont="1" applyFill="1" applyBorder="1" applyAlignment="1">
      <alignment horizontal="center" vertical="top" wrapText="1"/>
      <protection/>
    </xf>
    <xf numFmtId="4" fontId="33" fillId="0" borderId="32" xfId="54" applyNumberFormat="1" applyFont="1" applyFill="1" applyBorder="1" applyAlignment="1">
      <alignment horizontal="center" vertical="top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4" fontId="54" fillId="0" borderId="11" xfId="54" applyNumberFormat="1" applyFont="1" applyFill="1" applyBorder="1" applyAlignment="1">
      <alignment horizontal="center" vertical="top" wrapText="1"/>
      <protection/>
    </xf>
    <xf numFmtId="4" fontId="54" fillId="0" borderId="14" xfId="54" applyNumberFormat="1" applyFont="1" applyFill="1" applyBorder="1" applyAlignment="1">
      <alignment horizontal="center" vertical="top" wrapText="1"/>
      <protection/>
    </xf>
    <xf numFmtId="4" fontId="54" fillId="0" borderId="17" xfId="54" applyNumberFormat="1" applyFont="1" applyFill="1" applyBorder="1" applyAlignment="1">
      <alignment horizontal="center" vertical="top" wrapText="1"/>
      <protection/>
    </xf>
    <xf numFmtId="4" fontId="22" fillId="0" borderId="11" xfId="54" applyNumberFormat="1" applyFont="1" applyFill="1" applyBorder="1" applyAlignment="1">
      <alignment horizontal="center" vertical="center" wrapText="1"/>
      <protection/>
    </xf>
    <xf numFmtId="4" fontId="22" fillId="0" borderId="14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ЦП (Развитие ЖКХ и благоустройство)" xfId="54"/>
    <cellStyle name="Обычный_Расшифровка смет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ing\&#1042;&#1062;&#1055;%20(&#1056;&#1072;&#1079;&#1074;&#1080;&#1090;&#1080;&#1077;),%20&#1044;&#1062;&#1055;%20(&#1055;&#1086;&#1076;&#1075;&#1086;&#1090;&#1086;&#1074;&#1082;&#1072;%20&#1082;%20&#1079;&#1080;&#1084;&#1077;),%20&#1052;&#1062;&#1055;%20(&#1041;&#1083;&#1072;&#1075;&#1086;&#1091;&#1089;&#1090;&#1088;&#1086;&#1081;&#1089;&#1090;&#1074;&#1086;)\2013%20&#1044;&#1062;&#1055;%20&#1041;&#1051;&#1040;&#1043;&#1054;&#1059;&#1057;&#1058;&#1056;&#1054;&#1049;&#1057;&#1058;&#1042;&#1054;\&#1044;&#1062;&#1055;%20&#1041;&#1083;&#1072;&#1075;&#1086;&#1091;&#1089;&#1090;&#1088;&#1086;&#1081;&#1089;&#1090;&#1074;&#1086;\incoming\&#1041;&#1102;&#1076;&#1078;&#1077;&#1090;%202013\&#1052;&#1050;&#1059;%20&#1059;&#1046;&#1050;&#1061;%20&#1057;&#1052;&#1045;&#1058;&#1040;%202013,%20&#1056;&#1072;&#1089;&#1096;&#1080;&#1092;&#1088;&#1086;&#1074;&#1082;&#1072;%20-27.09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ing\&#1042;&#1062;&#1055;%20(&#1056;&#1072;&#1079;&#1074;&#1080;&#1090;&#1080;&#1077;),%20&#1044;&#1062;&#1055;%20(&#1055;&#1086;&#1076;&#1075;&#1086;&#1090;&#1086;&#1074;&#1082;&#1072;%20&#1082;%20&#1079;&#1080;&#1084;&#1077;),%20&#1052;&#1062;&#1055;%20(&#1041;&#1083;&#1072;&#1075;&#1086;&#1091;&#1089;&#1090;&#1088;&#1086;&#1081;&#1089;&#1090;&#1074;&#1086;)\2013%20&#1044;&#1062;&#1055;%20&#1041;&#1051;&#1040;&#1043;&#1054;&#1059;&#1057;&#1058;&#1056;&#1054;&#1049;&#1057;&#1058;&#1042;&#1054;\&#1044;&#1062;&#1055;%20&#1041;&#1083;&#1072;&#1075;&#1086;&#1091;&#1089;&#1090;&#1088;&#1086;&#1081;&#1089;&#1090;&#1074;&#1086;\incoming\&#1041;&#1102;&#1076;&#1078;&#1077;&#1090;%202013\&#1052;&#1050;&#1059;%20&#1059;&#1046;&#1050;&#1061;%20&#1057;&#1052;&#1045;&#1058;&#1040;%202013,%20&#1056;&#1072;&#1089;&#1096;&#1080;&#1092;&#1088;&#1086;&#1074;&#1082;&#1072;%20(&#1089;%20&#1044;&#1062;&#1055;,%20&#1052;&#1044;&#1062;&#1055;)-20.09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ing\&#1042;&#1062;&#1055;%20(&#1056;&#1072;&#1079;&#1074;&#1080;&#1090;&#1080;&#1077;),%20&#1044;&#1062;&#1055;%20(&#1055;&#1086;&#1076;&#1075;&#1086;&#1090;&#1086;&#1074;&#1082;&#1072;%20&#1082;%20&#1079;&#1080;&#1084;&#1077;),%20&#1052;&#1062;&#1055;%20(&#1041;&#1083;&#1072;&#1075;&#1086;&#1091;&#1089;&#1090;&#1088;&#1086;&#1081;&#1089;&#1090;&#1074;&#1086;)\2013%20&#1044;&#1062;&#1055;%20&#1041;&#1051;&#1040;&#1043;&#1054;&#1059;&#1057;&#1058;&#1056;&#1054;&#1049;&#1057;&#1058;&#1042;&#1054;\&#1044;&#1062;&#1055;%20&#1041;&#1083;&#1072;&#1075;&#1086;&#1091;&#1089;&#1090;&#1088;&#1086;&#1081;&#1089;&#1090;&#1074;&#1086;\&#1052;&#1077;&#1088;&#1086;&#1087;&#1088;&#1080;&#1103;&#1090;&#1080;&#1103;%20&#1082;%20&#1044;&#1062;&#1055;%20&#1041;&#1083;&#1072;&#1075;&#1086;&#1091;&#1089;&#1090;&#1088;&#1086;&#1081;&#1089;&#1090;&#1074;&#1086;%20&#1055;&#1086;&#1089;&#1083;&#1077;&#1076;&#1085;&#1080;&#1081;%20&#1074;&#1072;&#1088;&#1080;&#1072;&#1085;&#1090;(124,27%20)%20-%2008.&#1092;&#1077;&#1074;&#1088;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ЦП Благоуст. (29.01.13 с изм.)"/>
      <sheetName val="Смета униф. МКУ 2013"/>
      <sheetName val="Расшифр.к смете на 2013"/>
      <sheetName val="ДЦП Благ. по годам вниз (27.09)"/>
      <sheetName val="МДЦП (Благоустр. )МКУ УЖКХ "/>
      <sheetName val="ДЦП (Зима) МКУ УЖКХ "/>
      <sheetName val=" подг к зиме план на 2013-2015"/>
      <sheetName val="ВЦП МКУ УЖКХ 2013г. (план) (2)"/>
      <sheetName val="ВЦП МКУ УЖКХ 2013г. (план) (3)"/>
    </sheetNames>
    <sheetDataSet>
      <sheetData sheetId="0">
        <row r="25">
          <cell r="E25" t="str">
            <v>2013-2015 годы</v>
          </cell>
        </row>
        <row r="26">
          <cell r="E26" t="str">
            <v>2013 год</v>
          </cell>
        </row>
        <row r="27">
          <cell r="E27" t="str">
            <v>2014 год</v>
          </cell>
        </row>
        <row r="28">
          <cell r="E28" t="str">
            <v>2015 год</v>
          </cell>
        </row>
        <row r="33">
          <cell r="E33" t="str">
            <v>2013-2015 годы</v>
          </cell>
        </row>
        <row r="34">
          <cell r="E34" t="str">
            <v>2013 год</v>
          </cell>
        </row>
        <row r="35">
          <cell r="E35" t="str">
            <v>2014 год</v>
          </cell>
        </row>
        <row r="45">
          <cell r="E45" t="str">
            <v>2013-2015 годы</v>
          </cell>
        </row>
        <row r="46">
          <cell r="E46" t="str">
            <v>2013 год</v>
          </cell>
        </row>
        <row r="47">
          <cell r="E47" t="str">
            <v>2014 год</v>
          </cell>
        </row>
        <row r="51">
          <cell r="E51" t="str">
            <v>2014 год</v>
          </cell>
        </row>
        <row r="53">
          <cell r="E53" t="str">
            <v>2013-2015 годы</v>
          </cell>
        </row>
        <row r="55">
          <cell r="E55" t="str">
            <v>2014 год</v>
          </cell>
        </row>
        <row r="59">
          <cell r="E59" t="str">
            <v>2014 год</v>
          </cell>
        </row>
        <row r="63">
          <cell r="E63" t="str">
            <v>2014 год</v>
          </cell>
        </row>
        <row r="64">
          <cell r="E64" t="str">
            <v>2015 год</v>
          </cell>
        </row>
        <row r="67">
          <cell r="E67" t="str">
            <v>2014 год</v>
          </cell>
        </row>
        <row r="77">
          <cell r="E77" t="str">
            <v>2014 год</v>
          </cell>
        </row>
        <row r="95">
          <cell r="E95" t="str">
            <v>2013-2015 годы</v>
          </cell>
        </row>
        <row r="96">
          <cell r="E96" t="str">
            <v>2013 год</v>
          </cell>
        </row>
        <row r="97">
          <cell r="E97" t="str">
            <v>2014 год</v>
          </cell>
        </row>
        <row r="100">
          <cell r="E100" t="str">
            <v>2013 год</v>
          </cell>
        </row>
        <row r="101">
          <cell r="E101" t="str">
            <v>2014 год</v>
          </cell>
        </row>
        <row r="111">
          <cell r="E111" t="str">
            <v>2014 год</v>
          </cell>
        </row>
        <row r="114">
          <cell r="E114" t="str">
            <v>2013 год</v>
          </cell>
        </row>
        <row r="115">
          <cell r="E115" t="str">
            <v>2014 год</v>
          </cell>
        </row>
        <row r="116">
          <cell r="E116" t="str">
            <v>2015 год</v>
          </cell>
        </row>
        <row r="128">
          <cell r="E128" t="str">
            <v>2013-2015 годы</v>
          </cell>
        </row>
        <row r="129">
          <cell r="E129" t="str">
            <v>2013 год</v>
          </cell>
        </row>
        <row r="132">
          <cell r="E132" t="str">
            <v>2013-2015 годы</v>
          </cell>
        </row>
        <row r="133">
          <cell r="E133" t="str">
            <v>2013 год</v>
          </cell>
        </row>
        <row r="136">
          <cell r="E136" t="str">
            <v>2013-2015 годы</v>
          </cell>
        </row>
        <row r="137">
          <cell r="E137" t="str">
            <v>2013 год</v>
          </cell>
        </row>
        <row r="140">
          <cell r="E140" t="str">
            <v>2013-2015 годы</v>
          </cell>
        </row>
        <row r="141">
          <cell r="E141" t="str">
            <v>2013 год</v>
          </cell>
        </row>
        <row r="147">
          <cell r="E147" t="str">
            <v>2015 год</v>
          </cell>
        </row>
        <row r="148">
          <cell r="E148" t="str">
            <v>2013-2015 годы</v>
          </cell>
        </row>
        <row r="149">
          <cell r="E149" t="str">
            <v>2013 год</v>
          </cell>
        </row>
        <row r="150">
          <cell r="E150" t="str">
            <v>2014 год</v>
          </cell>
        </row>
        <row r="155">
          <cell r="E155" t="str">
            <v>2015 год</v>
          </cell>
        </row>
        <row r="156">
          <cell r="E156" t="str">
            <v>2013-2015 годы</v>
          </cell>
        </row>
        <row r="160">
          <cell r="E160" t="str">
            <v>2013-2015 годы</v>
          </cell>
        </row>
        <row r="162">
          <cell r="E162" t="str">
            <v>2014 год</v>
          </cell>
        </row>
        <row r="164">
          <cell r="E164" t="str">
            <v>2013-2015 годы</v>
          </cell>
        </row>
        <row r="165">
          <cell r="E165" t="str">
            <v>2013 год</v>
          </cell>
        </row>
        <row r="167">
          <cell r="E167" t="str">
            <v>2015 год</v>
          </cell>
        </row>
        <row r="169">
          <cell r="E169" t="str">
            <v>2013 год</v>
          </cell>
        </row>
        <row r="171">
          <cell r="E171" t="str">
            <v>2015 год</v>
          </cell>
        </row>
        <row r="176">
          <cell r="E176" t="str">
            <v>2013-2015 годы</v>
          </cell>
        </row>
        <row r="177">
          <cell r="E177" t="str">
            <v>2013 год</v>
          </cell>
        </row>
        <row r="180">
          <cell r="E180" t="str">
            <v>2013-2015 годы</v>
          </cell>
        </row>
        <row r="188">
          <cell r="E188" t="str">
            <v>2013-2015 годы</v>
          </cell>
        </row>
        <row r="189">
          <cell r="E189" t="str">
            <v>2013 год</v>
          </cell>
        </row>
        <row r="191">
          <cell r="E191" t="str">
            <v>2015 год</v>
          </cell>
        </row>
        <row r="193">
          <cell r="E193" t="str">
            <v>2013 год</v>
          </cell>
        </row>
        <row r="194">
          <cell r="E194" t="str">
            <v>2014 год</v>
          </cell>
        </row>
        <row r="195">
          <cell r="E195" t="str">
            <v>2015 год</v>
          </cell>
        </row>
        <row r="196">
          <cell r="E196" t="str">
            <v>2013-2015 годы</v>
          </cell>
        </row>
        <row r="197">
          <cell r="E197" t="str">
            <v>2013 год</v>
          </cell>
        </row>
        <row r="198">
          <cell r="E198" t="str">
            <v>2014 год</v>
          </cell>
        </row>
        <row r="203">
          <cell r="E203" t="str">
            <v>2015 год</v>
          </cell>
        </row>
        <row r="212">
          <cell r="E212" t="str">
            <v>2013-2015 годы</v>
          </cell>
        </row>
        <row r="216">
          <cell r="E216" t="str">
            <v>2013-2015 годы</v>
          </cell>
        </row>
        <row r="220">
          <cell r="E220" t="str">
            <v>2013-2015 годы</v>
          </cell>
        </row>
        <row r="224">
          <cell r="E224" t="str">
            <v>2013-2015 годы</v>
          </cell>
        </row>
        <row r="226">
          <cell r="E226" t="str">
            <v>2014 год</v>
          </cell>
        </row>
        <row r="227">
          <cell r="E227" t="str">
            <v>2015 год</v>
          </cell>
        </row>
        <row r="228">
          <cell r="E228" t="str">
            <v>2013-2015 годы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ЦП Благоуст. (29.01.13 с изм.)"/>
      <sheetName val="Смета униф. МКУ 2013"/>
      <sheetName val="Расшифр.к смете на 2013"/>
      <sheetName val="МДЦП (Благоустр. )МКУ УЖКХ "/>
      <sheetName val="ДЦП (Зима) МКУ УЖКХ "/>
      <sheetName val=" подг к зиме план на 2013-2015"/>
      <sheetName val="ВЦП МКУ УЖКХ 2013г. (план) (2)"/>
      <sheetName val="ВЦП МКУ УЖКХ 2013г. (план) (3)"/>
    </sheetNames>
    <sheetDataSet>
      <sheetData sheetId="0">
        <row r="10">
          <cell r="S10" t="str">
            <v>цена/стоимость</v>
          </cell>
        </row>
        <row r="91">
          <cell r="S91">
            <v>10000</v>
          </cell>
        </row>
        <row r="189">
          <cell r="S189">
            <v>3000000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ЦП Благоуст. (08.02. +26млн)"/>
      <sheetName val="ДЦП Благоуст. (29.01.13 с изм.)"/>
      <sheetName val="Внесение изменен 2013 (29.01)"/>
      <sheetName val="Передвижка под изм. (29.01.12)"/>
      <sheetName val="Внесение изменен 2013"/>
      <sheetName val="Сравнительная  2012-2013 (2)"/>
      <sheetName val="Сравнительная  2012-2013"/>
      <sheetName val="Факт вып.раб. 2012"/>
      <sheetName val="Лист2"/>
      <sheetName val="ДЦП Благоуст. (разв.15.10.12)"/>
    </sheetNames>
    <sheetDataSet>
      <sheetData sheetId="1">
        <row r="1">
          <cell r="I1">
            <v>124270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268"/>
  <sheetViews>
    <sheetView showZeros="0" tabSelected="1" view="pageBreakPreview" zoomScale="85" zoomScaleSheetLayoutView="85" zoomScalePageLayoutView="0" workbookViewId="0" topLeftCell="A1">
      <pane xSplit="6" ySplit="16" topLeftCell="G15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62" sqref="I162"/>
    </sheetView>
  </sheetViews>
  <sheetFormatPr defaultColWidth="9.00390625" defaultRowHeight="12.75" outlineLevelRow="1" outlineLevelCol="1"/>
  <cols>
    <col min="1" max="1" width="5.00390625" style="1" customWidth="1"/>
    <col min="2" max="2" width="65.125" style="2" customWidth="1"/>
    <col min="3" max="4" width="17.125" style="3" hidden="1" customWidth="1"/>
    <col min="5" max="5" width="11.75390625" style="11" customWidth="1"/>
    <col min="6" max="6" width="20.75390625" style="5" hidden="1" customWidth="1" outlineLevel="1"/>
    <col min="7" max="7" width="17.75390625" style="5" hidden="1" customWidth="1" outlineLevel="1"/>
    <col min="8" max="8" width="17.875" style="5" hidden="1" customWidth="1" outlineLevel="1"/>
    <col min="9" max="9" width="14.25390625" style="5" customWidth="1" outlineLevel="1"/>
    <col min="10" max="10" width="12.875" style="5" customWidth="1" outlineLevel="1"/>
    <col min="11" max="11" width="14.00390625" style="5" customWidth="1" outlineLevel="1"/>
    <col min="12" max="12" width="8.375" style="5" customWidth="1" outlineLevel="1"/>
    <col min="13" max="13" width="8.75390625" style="5" customWidth="1" outlineLevel="1"/>
    <col min="14" max="14" width="9.125" style="5" customWidth="1" outlineLevel="1"/>
    <col min="15" max="15" width="11.625" style="5" customWidth="1" outlineLevel="1"/>
    <col min="16" max="16" width="22.125" style="7" customWidth="1" outlineLevel="1"/>
    <col min="17" max="17" width="7.625" style="7" customWidth="1" outlineLevel="1"/>
    <col min="18" max="18" width="10.75390625" style="8" customWidth="1" outlineLevel="1"/>
    <col min="19" max="19" width="12.75390625" style="9" hidden="1" customWidth="1" outlineLevel="1"/>
    <col min="20" max="20" width="20.00390625" style="10" hidden="1" customWidth="1" outlineLevel="1"/>
    <col min="21" max="21" width="9.875" style="6" bestFit="1" customWidth="1" collapsed="1"/>
    <col min="22" max="16384" width="9.125" style="6" customWidth="1"/>
  </cols>
  <sheetData>
    <row r="1" spans="5:16" ht="12.75">
      <c r="E1" s="4" t="s">
        <v>0</v>
      </c>
      <c r="G1" s="5">
        <f>G13-G16</f>
        <v>206070.2952964</v>
      </c>
      <c r="H1" s="5">
        <f>H13-H16</f>
        <v>161670.0912964</v>
      </c>
      <c r="I1" s="5">
        <f>I13-J13</f>
        <v>73532</v>
      </c>
      <c r="J1" s="5">
        <f>I13-'[3]ДЦП Благоуст. (29.01.13 с изм.)'!I1</f>
        <v>26000</v>
      </c>
      <c r="P1" s="6"/>
    </row>
    <row r="2" ht="18.75">
      <c r="P2" s="12" t="s">
        <v>1</v>
      </c>
    </row>
    <row r="3" spans="3:16" ht="18.75">
      <c r="C3" s="13">
        <f>C13-C16</f>
        <v>130011.77</v>
      </c>
      <c r="D3" s="13">
        <f>D13-D16</f>
        <v>188607.77</v>
      </c>
      <c r="E3" s="6"/>
      <c r="F3" s="6"/>
      <c r="G3" s="6"/>
      <c r="H3" s="6"/>
      <c r="I3" s="6"/>
      <c r="P3" s="12" t="s">
        <v>2</v>
      </c>
    </row>
    <row r="4" spans="3:16" ht="18.75">
      <c r="C4" s="13"/>
      <c r="D4" s="13"/>
      <c r="E4" s="4"/>
      <c r="P4" s="12" t="s">
        <v>3</v>
      </c>
    </row>
    <row r="5" spans="3:16" ht="18.75">
      <c r="C5" s="13"/>
      <c r="D5" s="13"/>
      <c r="E5" s="4"/>
      <c r="P5" s="12" t="s">
        <v>172</v>
      </c>
    </row>
    <row r="6" spans="1:20" s="11" customFormat="1" ht="30.75" customHeight="1">
      <c r="A6" s="14" t="s">
        <v>4</v>
      </c>
      <c r="B6" s="15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20"/>
      <c r="S6" s="21"/>
      <c r="T6" s="22"/>
    </row>
    <row r="7" spans="1:20" s="11" customFormat="1" ht="15.75" customHeight="1">
      <c r="A7" s="290" t="s">
        <v>5</v>
      </c>
      <c r="B7" s="292" t="s">
        <v>6</v>
      </c>
      <c r="C7" s="25"/>
      <c r="D7" s="25"/>
      <c r="E7" s="286" t="s">
        <v>7</v>
      </c>
      <c r="F7" s="24"/>
      <c r="G7" s="24" t="s">
        <v>8</v>
      </c>
      <c r="H7" s="24" t="s">
        <v>8</v>
      </c>
      <c r="I7" s="26" t="s">
        <v>8</v>
      </c>
      <c r="J7" s="27"/>
      <c r="K7" s="28"/>
      <c r="L7" s="28"/>
      <c r="M7" s="28"/>
      <c r="N7" s="29"/>
      <c r="O7" s="291" t="s">
        <v>9</v>
      </c>
      <c r="P7" s="282" t="s">
        <v>10</v>
      </c>
      <c r="Q7" s="285" t="s">
        <v>11</v>
      </c>
      <c r="R7" s="286"/>
      <c r="S7" s="21"/>
      <c r="T7" s="22"/>
    </row>
    <row r="8" spans="1:20" s="11" customFormat="1" ht="16.5" thickBot="1">
      <c r="A8" s="290"/>
      <c r="B8" s="292"/>
      <c r="C8" s="30"/>
      <c r="D8" s="30"/>
      <c r="E8" s="286"/>
      <c r="F8" s="286" t="s">
        <v>12</v>
      </c>
      <c r="G8" s="31"/>
      <c r="H8" s="31"/>
      <c r="I8" s="279" t="s">
        <v>13</v>
      </c>
      <c r="J8" s="280"/>
      <c r="K8" s="280"/>
      <c r="L8" s="280"/>
      <c r="M8" s="280"/>
      <c r="N8" s="281"/>
      <c r="O8" s="291"/>
      <c r="P8" s="283"/>
      <c r="Q8" s="285"/>
      <c r="R8" s="286"/>
      <c r="S8" s="21"/>
      <c r="T8" s="22"/>
    </row>
    <row r="9" spans="1:20" ht="23.25" customHeight="1">
      <c r="A9" s="290"/>
      <c r="B9" s="292"/>
      <c r="C9" s="295" t="s">
        <v>14</v>
      </c>
      <c r="D9" s="295" t="s">
        <v>173</v>
      </c>
      <c r="E9" s="286"/>
      <c r="F9" s="286"/>
      <c r="G9" s="293" t="s">
        <v>15</v>
      </c>
      <c r="H9" s="297" t="s">
        <v>16</v>
      </c>
      <c r="I9" s="287" t="s">
        <v>17</v>
      </c>
      <c r="J9" s="288"/>
      <c r="K9" s="289"/>
      <c r="L9" s="278" t="s">
        <v>18</v>
      </c>
      <c r="M9" s="278"/>
      <c r="N9" s="278"/>
      <c r="O9" s="291"/>
      <c r="P9" s="283"/>
      <c r="Q9" s="285"/>
      <c r="R9" s="286"/>
      <c r="S9" s="33"/>
      <c r="T9" s="276" t="s">
        <v>19</v>
      </c>
    </row>
    <row r="10" spans="1:20" ht="66" customHeight="1" thickBot="1">
      <c r="A10" s="290"/>
      <c r="B10" s="292"/>
      <c r="C10" s="296"/>
      <c r="D10" s="296"/>
      <c r="E10" s="286"/>
      <c r="F10" s="286"/>
      <c r="G10" s="294"/>
      <c r="H10" s="298"/>
      <c r="I10" s="23" t="s">
        <v>20</v>
      </c>
      <c r="J10" s="34" t="s">
        <v>21</v>
      </c>
      <c r="K10" s="23" t="s">
        <v>22</v>
      </c>
      <c r="L10" s="32" t="s">
        <v>23</v>
      </c>
      <c r="M10" s="32" t="s">
        <v>24</v>
      </c>
      <c r="N10" s="32" t="s">
        <v>25</v>
      </c>
      <c r="O10" s="291"/>
      <c r="P10" s="284"/>
      <c r="Q10" s="35" t="s">
        <v>26</v>
      </c>
      <c r="R10" s="36" t="s">
        <v>27</v>
      </c>
      <c r="S10" s="37" t="s">
        <v>28</v>
      </c>
      <c r="T10" s="277"/>
    </row>
    <row r="11" spans="1:20" s="47" customFormat="1" ht="11.25" customHeight="1" thickBot="1">
      <c r="A11" s="38">
        <v>1</v>
      </c>
      <c r="B11" s="38">
        <v>2</v>
      </c>
      <c r="C11" s="39"/>
      <c r="D11" s="39"/>
      <c r="E11" s="38"/>
      <c r="F11" s="38"/>
      <c r="G11" s="40"/>
      <c r="H11" s="41"/>
      <c r="I11" s="38">
        <v>3</v>
      </c>
      <c r="J11" s="38">
        <v>4</v>
      </c>
      <c r="K11" s="38">
        <v>5</v>
      </c>
      <c r="L11" s="38">
        <v>6</v>
      </c>
      <c r="M11" s="38">
        <v>7</v>
      </c>
      <c r="N11" s="38">
        <v>8</v>
      </c>
      <c r="O11" s="42">
        <v>9</v>
      </c>
      <c r="P11" s="39">
        <v>10</v>
      </c>
      <c r="Q11" s="43"/>
      <c r="R11" s="44"/>
      <c r="S11" s="45"/>
      <c r="T11" s="46"/>
    </row>
    <row r="12" spans="1:20" s="58" customFormat="1" ht="26.25" customHeight="1">
      <c r="A12" s="48"/>
      <c r="B12" s="49" t="s">
        <v>29</v>
      </c>
      <c r="C12" s="50" t="e">
        <f>C13+C14+C15</f>
        <v>#REF!</v>
      </c>
      <c r="D12" s="50" t="e">
        <f>D13+D14+D15</f>
        <v>#REF!</v>
      </c>
      <c r="E12" s="51" t="s">
        <v>30</v>
      </c>
      <c r="F12" s="52">
        <f aca="true" t="shared" si="0" ref="F12:N12">F13+F14+F15</f>
        <v>369270</v>
      </c>
      <c r="G12" s="52">
        <f t="shared" si="0"/>
        <v>637345.9863464</v>
      </c>
      <c r="H12" s="52">
        <f t="shared" si="0"/>
        <v>528543.2723464</v>
      </c>
      <c r="I12" s="52">
        <f t="shared" si="0"/>
        <v>395270</v>
      </c>
      <c r="J12" s="50">
        <f>J13+J14+J15</f>
        <v>76738</v>
      </c>
      <c r="K12" s="50">
        <f>K13+K14+K15</f>
        <v>318532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302" t="s">
        <v>31</v>
      </c>
      <c r="P12" s="53"/>
      <c r="Q12" s="54"/>
      <c r="R12" s="55"/>
      <c r="S12" s="56"/>
      <c r="T12" s="57" t="e">
        <f>#REF!+#REF!+#REF!+T124+T109+T75+T17+#REF!</f>
        <v>#REF!</v>
      </c>
    </row>
    <row r="13" spans="1:21" s="71" customFormat="1" ht="26.25" customHeight="1">
      <c r="A13" s="59"/>
      <c r="B13" s="60"/>
      <c r="C13" s="61">
        <f aca="true" t="shared" si="1" ref="C13:D15">C125+C110+C76+C18</f>
        <v>130011.77</v>
      </c>
      <c r="D13" s="61">
        <f t="shared" si="1"/>
        <v>188607.77</v>
      </c>
      <c r="E13" s="62" t="s">
        <v>32</v>
      </c>
      <c r="F13" s="63">
        <f aca="true" t="shared" si="2" ref="F13:J15">F125+F110+F76+F18</f>
        <v>124270</v>
      </c>
      <c r="G13" s="63">
        <f t="shared" si="2"/>
        <v>368985.9863464</v>
      </c>
      <c r="H13" s="63">
        <f t="shared" si="2"/>
        <v>269887.2723464</v>
      </c>
      <c r="I13" s="63">
        <f t="shared" si="2"/>
        <v>150270</v>
      </c>
      <c r="J13" s="61">
        <f>J125+J110+J76+J18</f>
        <v>76738</v>
      </c>
      <c r="K13" s="61">
        <f>K125+K110+K76+K18</f>
        <v>73532</v>
      </c>
      <c r="L13" s="61">
        <f>L125+L110+L76+L18</f>
        <v>0</v>
      </c>
      <c r="M13" s="64"/>
      <c r="N13" s="64"/>
      <c r="O13" s="303"/>
      <c r="P13" s="65"/>
      <c r="Q13" s="66"/>
      <c r="R13" s="67"/>
      <c r="S13" s="68"/>
      <c r="T13" s="69"/>
      <c r="U13" s="70" t="e">
        <f>G13-'[2]ДЦП Благоуст. (29.01.13 с изм.)'!$M$220</f>
        <v>#REF!</v>
      </c>
    </row>
    <row r="14" spans="1:21" s="58" customFormat="1" ht="26.25" customHeight="1">
      <c r="A14" s="72"/>
      <c r="B14" s="73"/>
      <c r="C14" s="74" t="e">
        <f t="shared" si="1"/>
        <v>#REF!</v>
      </c>
      <c r="D14" s="74" t="e">
        <f t="shared" si="1"/>
        <v>#REF!</v>
      </c>
      <c r="E14" s="75" t="s">
        <v>33</v>
      </c>
      <c r="F14" s="74">
        <f t="shared" si="2"/>
        <v>119000</v>
      </c>
      <c r="G14" s="74">
        <f t="shared" si="2"/>
        <v>121633</v>
      </c>
      <c r="H14" s="74">
        <f t="shared" si="2"/>
        <v>120723.5</v>
      </c>
      <c r="I14" s="74">
        <f t="shared" si="2"/>
        <v>119000</v>
      </c>
      <c r="J14" s="74">
        <f t="shared" si="2"/>
        <v>0</v>
      </c>
      <c r="K14" s="74">
        <f>K126+K111+K77+K19</f>
        <v>119000</v>
      </c>
      <c r="L14" s="74">
        <f>L126+L111+L77+L19</f>
        <v>0</v>
      </c>
      <c r="M14" s="74"/>
      <c r="N14" s="74"/>
      <c r="O14" s="303"/>
      <c r="P14" s="76"/>
      <c r="Q14" s="77"/>
      <c r="R14" s="78"/>
      <c r="S14" s="79"/>
      <c r="T14" s="80"/>
      <c r="U14" s="81" t="e">
        <f>G14-'[2]ДЦП Благоуст. (29.01.13 с изм.)'!$N$220</f>
        <v>#REF!</v>
      </c>
    </row>
    <row r="15" spans="1:21" s="58" customFormat="1" ht="26.25" customHeight="1">
      <c r="A15" s="82"/>
      <c r="B15" s="83"/>
      <c r="C15" s="84" t="e">
        <f t="shared" si="1"/>
        <v>#REF!</v>
      </c>
      <c r="D15" s="84" t="e">
        <f t="shared" si="1"/>
        <v>#REF!</v>
      </c>
      <c r="E15" s="85" t="s">
        <v>34</v>
      </c>
      <c r="F15" s="84">
        <f t="shared" si="2"/>
        <v>126000</v>
      </c>
      <c r="G15" s="84">
        <f t="shared" si="2"/>
        <v>146727</v>
      </c>
      <c r="H15" s="84">
        <f t="shared" si="2"/>
        <v>137932.5</v>
      </c>
      <c r="I15" s="84">
        <f t="shared" si="2"/>
        <v>126000</v>
      </c>
      <c r="J15" s="84">
        <f t="shared" si="2"/>
        <v>0</v>
      </c>
      <c r="K15" s="84">
        <f>K127+K112+K78+K20</f>
        <v>126000</v>
      </c>
      <c r="L15" s="84">
        <f>L127+L112+L78+L20</f>
        <v>0</v>
      </c>
      <c r="M15" s="84"/>
      <c r="N15" s="84"/>
      <c r="O15" s="303"/>
      <c r="P15" s="86"/>
      <c r="Q15" s="87"/>
      <c r="R15" s="88"/>
      <c r="S15" s="79"/>
      <c r="T15" s="80"/>
      <c r="U15" s="89" t="e">
        <f>G15-'[2]ДЦП Благоуст. (29.01.13 с изм.)'!$S$220</f>
        <v>#REF!</v>
      </c>
    </row>
    <row r="16" spans="1:20" s="99" customFormat="1" ht="23.25" customHeight="1" hidden="1" thickBot="1">
      <c r="A16" s="90"/>
      <c r="B16" s="91" t="s">
        <v>35</v>
      </c>
      <c r="C16" s="92">
        <f>C254+C253+C252+C251+C250+C249+C248+C247+C246+C245+C123+C122+C106+C105+C104+C107+C108+C74+C73+C71+C72+C70</f>
        <v>0</v>
      </c>
      <c r="D16" s="92">
        <f>D254+D253+D252+D251+D250+D249+D248+D247+D246+D245+D123+D122+D106+D105+D104+D107+D108+D74+D73+D71+D72+D70</f>
        <v>0</v>
      </c>
      <c r="E16" s="93" t="s">
        <v>32</v>
      </c>
      <c r="F16" s="92">
        <f>F254+F253+F252+F251+F250+F249+F248+F247+F246+F245+F123+F122+F106+F105+F104+F107+F108+F74+F73+F71+F72+F70</f>
        <v>36849</v>
      </c>
      <c r="G16" s="92">
        <f>G69+G103+G121+G244</f>
        <v>162915.69105</v>
      </c>
      <c r="H16" s="92">
        <f>H69+H103+H121+H244</f>
        <v>108217.18105</v>
      </c>
      <c r="I16" s="92"/>
      <c r="J16" s="92">
        <f>J69+J103+J121+J244</f>
        <v>0</v>
      </c>
      <c r="K16" s="92">
        <f>K69+K103+K121+K244</f>
        <v>0</v>
      </c>
      <c r="L16" s="92">
        <v>0</v>
      </c>
      <c r="M16" s="92"/>
      <c r="N16" s="92"/>
      <c r="O16" s="303"/>
      <c r="P16" s="94"/>
      <c r="Q16" s="95"/>
      <c r="R16" s="96"/>
      <c r="S16" s="97"/>
      <c r="T16" s="98" t="e">
        <f>#REF!+#REF!+#REF!+T254+T253+T252+T251+T250+T249+T248+T247+T246+T245+T123+T122+T106+T105+T104+T107+T108+T74+T73+T71+T72+T70</f>
        <v>#REF!</v>
      </c>
    </row>
    <row r="17" spans="1:20" s="109" customFormat="1" ht="64.5" customHeight="1">
      <c r="A17" s="100">
        <v>1</v>
      </c>
      <c r="B17" s="101" t="s">
        <v>36</v>
      </c>
      <c r="C17" s="102">
        <f>C18+C19+C20</f>
        <v>109040.17</v>
      </c>
      <c r="D17" s="102">
        <f>D18+D19+D20</f>
        <v>133044.8</v>
      </c>
      <c r="E17" s="103" t="s">
        <v>30</v>
      </c>
      <c r="F17" s="102">
        <f aca="true" t="shared" si="3" ref="F17:L17">F18+F19+F20</f>
        <v>268500</v>
      </c>
      <c r="G17" s="102">
        <f t="shared" si="3"/>
        <v>424254.83716999996</v>
      </c>
      <c r="H17" s="102">
        <f t="shared" si="3"/>
        <v>353716.76717</v>
      </c>
      <c r="I17" s="102">
        <f t="shared" si="3"/>
        <v>277003</v>
      </c>
      <c r="J17" s="102">
        <f t="shared" si="3"/>
        <v>44396</v>
      </c>
      <c r="K17" s="102">
        <f>K18+K19+K20</f>
        <v>232607</v>
      </c>
      <c r="L17" s="102">
        <f t="shared" si="3"/>
        <v>0</v>
      </c>
      <c r="M17" s="102"/>
      <c r="N17" s="102"/>
      <c r="O17" s="104"/>
      <c r="P17" s="299" t="s">
        <v>189</v>
      </c>
      <c r="Q17" s="105"/>
      <c r="R17" s="106"/>
      <c r="S17" s="107"/>
      <c r="T17" s="108" t="e">
        <f>SUM(T21:T74)</f>
        <v>#REF!</v>
      </c>
    </row>
    <row r="18" spans="1:20" s="99" customFormat="1" ht="15">
      <c r="A18" s="110"/>
      <c r="B18" s="111"/>
      <c r="C18" s="112">
        <f aca="true" t="shared" si="4" ref="C18:D20">C22+C26+C30+C34+C38+C42+C46+C50+C54+C58+C62+C69+C66</f>
        <v>109040.17</v>
      </c>
      <c r="D18" s="112">
        <f t="shared" si="4"/>
        <v>133044.8</v>
      </c>
      <c r="E18" s="113" t="s">
        <v>32</v>
      </c>
      <c r="F18" s="112">
        <f>F22+F26+F30+F34+F38+F42+F46+F50+F54+F58+F62+F66</f>
        <v>86440</v>
      </c>
      <c r="G18" s="112">
        <f>G22+G26+G30+G34+G38+G42+G46+G50+G54+G58+G62+G69+G66</f>
        <v>242194.83716999998</v>
      </c>
      <c r="H18" s="112">
        <f>H22+H26+H30+H34+H38+H42+H46+H50+H54+H58+H62+H69+H66</f>
        <v>171656.76717</v>
      </c>
      <c r="I18" s="112">
        <f>I22+I26+I30+I34+I38+I42+I46+I50+I54+I58+I62+I66</f>
        <v>94943</v>
      </c>
      <c r="J18" s="112">
        <f>J22+J26+J30+J34+J38+J42+J46+J50+J54+J58+J62+J69</f>
        <v>44396</v>
      </c>
      <c r="K18" s="112">
        <f>K22+K26+K30+K34+K38+K42+K46+K50+K54+K58+K62+K69</f>
        <v>50547</v>
      </c>
      <c r="L18" s="112">
        <f>L22+L26+L30+L34+L38+L42+L46+L50+L54+L58+L62+L69</f>
        <v>0</v>
      </c>
      <c r="M18" s="112">
        <f>M22+M26+M30+M34+M38+M42+M46+M50+M54+M58+M62+M69</f>
        <v>0</v>
      </c>
      <c r="N18" s="112">
        <f>N22+N26+N30+N34+N38+N42+N46+N50+N54+N58+N62+N69</f>
        <v>0</v>
      </c>
      <c r="O18" s="104"/>
      <c r="P18" s="300"/>
      <c r="Q18" s="95"/>
      <c r="R18" s="96"/>
      <c r="S18" s="114"/>
      <c r="T18" s="115"/>
    </row>
    <row r="19" spans="1:20" s="99" customFormat="1" ht="15">
      <c r="A19" s="110"/>
      <c r="B19" s="111"/>
      <c r="C19" s="112">
        <f t="shared" si="4"/>
        <v>0</v>
      </c>
      <c r="D19" s="112">
        <f t="shared" si="4"/>
        <v>0</v>
      </c>
      <c r="E19" s="113" t="s">
        <v>33</v>
      </c>
      <c r="F19" s="112">
        <f aca="true" t="shared" si="5" ref="F19:I20">F23+F27+F31+F35+F39+F43+F47+F51+F55+F59+F63+F67</f>
        <v>87830</v>
      </c>
      <c r="G19" s="112">
        <f t="shared" si="5"/>
        <v>87830</v>
      </c>
      <c r="H19" s="112">
        <f t="shared" si="5"/>
        <v>87830</v>
      </c>
      <c r="I19" s="112">
        <f t="shared" si="5"/>
        <v>87830</v>
      </c>
      <c r="J19" s="112">
        <f>J23+J27+J31+J35+J39+J43+J47+J51+J55+J59+J63+J67</f>
        <v>0</v>
      </c>
      <c r="K19" s="112">
        <f>K23+K27+K31+K35+K39+K43+K47+K51+K55+K59+K63+K67</f>
        <v>87830</v>
      </c>
      <c r="L19" s="112">
        <f>L23+L27+L31+L35+L39+L43+L47+L51+L55+L59+L63</f>
        <v>0</v>
      </c>
      <c r="M19" s="112"/>
      <c r="N19" s="112"/>
      <c r="O19" s="104"/>
      <c r="P19" s="300"/>
      <c r="Q19" s="95"/>
      <c r="R19" s="96"/>
      <c r="S19" s="114"/>
      <c r="T19" s="115"/>
    </row>
    <row r="20" spans="1:21" s="99" customFormat="1" ht="15">
      <c r="A20" s="110"/>
      <c r="B20" s="111"/>
      <c r="C20" s="112">
        <f t="shared" si="4"/>
        <v>0</v>
      </c>
      <c r="D20" s="112">
        <f t="shared" si="4"/>
        <v>0</v>
      </c>
      <c r="E20" s="113" t="s">
        <v>34</v>
      </c>
      <c r="F20" s="112">
        <f t="shared" si="5"/>
        <v>94230</v>
      </c>
      <c r="G20" s="112">
        <f t="shared" si="5"/>
        <v>94230</v>
      </c>
      <c r="H20" s="112">
        <f t="shared" si="5"/>
        <v>94230</v>
      </c>
      <c r="I20" s="112">
        <f t="shared" si="5"/>
        <v>94230</v>
      </c>
      <c r="J20" s="112">
        <f>J24+J28+J32+J36+J40+J44+J48+J52+J56+J60+J64+J68</f>
        <v>0</v>
      </c>
      <c r="K20" s="112">
        <f>K24+K28+K32+K36+K40+K44+K48+K52+K56+K60+K64+K68</f>
        <v>94230</v>
      </c>
      <c r="L20" s="112">
        <f>L24+L28+L32+L36+L40+L44+L48+L52+L56+L60+L64</f>
        <v>0</v>
      </c>
      <c r="M20" s="112"/>
      <c r="N20" s="112"/>
      <c r="O20" s="104"/>
      <c r="P20" s="300"/>
      <c r="Q20" s="95"/>
      <c r="R20" s="96"/>
      <c r="S20" s="114"/>
      <c r="T20" s="115"/>
      <c r="U20" s="116" t="e">
        <f>G20-'[2]ДЦП Благоуст. (29.01.13 с изм.)'!$S$4</f>
        <v>#REF!</v>
      </c>
    </row>
    <row r="21" spans="1:20" ht="15">
      <c r="A21" s="117" t="s">
        <v>37</v>
      </c>
      <c r="B21" s="118" t="s">
        <v>38</v>
      </c>
      <c r="C21" s="119">
        <f>C22+C23+C24</f>
        <v>36494.7</v>
      </c>
      <c r="D21" s="119">
        <f>D22+D23+D24</f>
        <v>49567.3</v>
      </c>
      <c r="E21" s="120" t="s">
        <v>30</v>
      </c>
      <c r="F21" s="121">
        <f aca="true" t="shared" si="6" ref="F21:L21">F22+F23+F24</f>
        <v>109260</v>
      </c>
      <c r="G21" s="121">
        <f t="shared" si="6"/>
        <v>123253.01999999999</v>
      </c>
      <c r="H21" s="121">
        <f t="shared" si="6"/>
        <v>106260</v>
      </c>
      <c r="I21" s="121">
        <f t="shared" si="6"/>
        <v>101261</v>
      </c>
      <c r="J21" s="121">
        <f t="shared" si="6"/>
        <v>11414</v>
      </c>
      <c r="K21" s="121">
        <f t="shared" si="6"/>
        <v>89847</v>
      </c>
      <c r="L21" s="121">
        <f t="shared" si="6"/>
        <v>0</v>
      </c>
      <c r="M21" s="121"/>
      <c r="N21" s="121"/>
      <c r="O21" s="104"/>
      <c r="P21" s="300"/>
      <c r="Q21" s="122" t="s">
        <v>39</v>
      </c>
      <c r="R21" s="123">
        <f>636.7</f>
        <v>636.7</v>
      </c>
      <c r="S21" s="124"/>
      <c r="T21" s="125" t="str">
        <f>'[1]ДЦП Благоуст. (29.01.13 с изм.)'!E28</f>
        <v>2015 год</v>
      </c>
    </row>
    <row r="22" spans="1:20" ht="15">
      <c r="A22" s="126"/>
      <c r="B22" s="127"/>
      <c r="C22" s="128">
        <f>22949.2+13545.5</f>
        <v>36494.7</v>
      </c>
      <c r="D22" s="128">
        <f>43592.9+357.4+3499+2118</f>
        <v>49567.3</v>
      </c>
      <c r="E22" s="129" t="s">
        <v>32</v>
      </c>
      <c r="F22" s="130">
        <v>38000</v>
      </c>
      <c r="G22" s="130">
        <v>51993.02</v>
      </c>
      <c r="H22" s="130">
        <f>50000-15000</f>
        <v>35000</v>
      </c>
      <c r="I22" s="130">
        <f>33000-2999</f>
        <v>30001</v>
      </c>
      <c r="J22" s="130">
        <f>14413-2999</f>
        <v>11414</v>
      </c>
      <c r="K22" s="130">
        <f>I22-J22</f>
        <v>18587</v>
      </c>
      <c r="L22" s="131"/>
      <c r="M22" s="131"/>
      <c r="N22" s="131"/>
      <c r="O22" s="104"/>
      <c r="P22" s="300"/>
      <c r="Q22" s="122"/>
      <c r="R22" s="123"/>
      <c r="S22" s="124"/>
      <c r="T22" s="125"/>
    </row>
    <row r="23" spans="1:20" ht="15">
      <c r="A23" s="126"/>
      <c r="B23" s="127"/>
      <c r="C23" s="132"/>
      <c r="D23" s="132"/>
      <c r="E23" s="133" t="s">
        <v>33</v>
      </c>
      <c r="F23" s="131">
        <v>34130</v>
      </c>
      <c r="G23" s="131">
        <v>34130</v>
      </c>
      <c r="H23" s="131">
        <v>34130</v>
      </c>
      <c r="I23" s="131">
        <v>34130</v>
      </c>
      <c r="J23" s="131"/>
      <c r="K23" s="131">
        <f>I23-J23</f>
        <v>34130</v>
      </c>
      <c r="L23" s="131"/>
      <c r="M23" s="131"/>
      <c r="N23" s="131"/>
      <c r="O23" s="104"/>
      <c r="P23" s="300"/>
      <c r="Q23" s="122"/>
      <c r="R23" s="123"/>
      <c r="S23" s="124"/>
      <c r="T23" s="125"/>
    </row>
    <row r="24" spans="1:21" ht="15">
      <c r="A24" s="126"/>
      <c r="B24" s="127"/>
      <c r="C24" s="132"/>
      <c r="D24" s="132"/>
      <c r="E24" s="133" t="s">
        <v>34</v>
      </c>
      <c r="F24" s="131">
        <v>37130</v>
      </c>
      <c r="G24" s="131">
        <v>37130</v>
      </c>
      <c r="H24" s="131">
        <v>37130</v>
      </c>
      <c r="I24" s="131">
        <v>37130</v>
      </c>
      <c r="J24" s="131"/>
      <c r="K24" s="131">
        <f>I24-J24</f>
        <v>37130</v>
      </c>
      <c r="L24" s="131"/>
      <c r="M24" s="131"/>
      <c r="N24" s="131"/>
      <c r="O24" s="104"/>
      <c r="P24" s="300"/>
      <c r="Q24" s="122"/>
      <c r="R24" s="123"/>
      <c r="S24" s="124"/>
      <c r="T24" s="125"/>
      <c r="U24" s="134" t="e">
        <f>G24-'[2]ДЦП Благоуст. (29.01.13 с изм.)'!$S$5</f>
        <v>#REF!</v>
      </c>
    </row>
    <row r="25" spans="1:20" ht="15" outlineLevel="1">
      <c r="A25" s="117" t="s">
        <v>40</v>
      </c>
      <c r="B25" s="118" t="s">
        <v>41</v>
      </c>
      <c r="C25" s="119">
        <f>20.6+10+10734.2</f>
        <v>10764.800000000001</v>
      </c>
      <c r="D25" s="119">
        <f>D26+D27+D28</f>
        <v>12224</v>
      </c>
      <c r="E25" s="120" t="s">
        <v>30</v>
      </c>
      <c r="F25" s="121">
        <f aca="true" t="shared" si="7" ref="F25:L25">F26+F27+F28</f>
        <v>23900</v>
      </c>
      <c r="G25" s="121">
        <f t="shared" si="7"/>
        <v>25743.97</v>
      </c>
      <c r="H25" s="121">
        <f t="shared" si="7"/>
        <v>18900</v>
      </c>
      <c r="I25" s="121">
        <f t="shared" si="7"/>
        <v>20465</v>
      </c>
      <c r="J25" s="121">
        <f t="shared" si="7"/>
        <v>3847</v>
      </c>
      <c r="K25" s="121">
        <f t="shared" si="7"/>
        <v>16618</v>
      </c>
      <c r="L25" s="121">
        <f t="shared" si="7"/>
        <v>0</v>
      </c>
      <c r="M25" s="121"/>
      <c r="N25" s="121"/>
      <c r="O25" s="104"/>
      <c r="P25" s="300"/>
      <c r="Q25" s="122" t="s">
        <v>39</v>
      </c>
      <c r="R25" s="123">
        <f>182+7.8</f>
        <v>189.8</v>
      </c>
      <c r="S25" s="124"/>
      <c r="T25" s="125" t="str">
        <f>'[1]ДЦП Благоуст. (29.01.13 с изм.)'!E33</f>
        <v>2013-2015 годы</v>
      </c>
    </row>
    <row r="26" spans="1:20" ht="15" outlineLevel="1">
      <c r="A26" s="126"/>
      <c r="B26" s="127"/>
      <c r="C26" s="128">
        <f>10734.2+100+180</f>
        <v>11014.2</v>
      </c>
      <c r="D26" s="128">
        <f>12224</f>
        <v>12224</v>
      </c>
      <c r="E26" s="129" t="s">
        <v>32</v>
      </c>
      <c r="F26" s="130">
        <f>5000+6000</f>
        <v>11000</v>
      </c>
      <c r="G26" s="130">
        <v>12843.97</v>
      </c>
      <c r="H26" s="130">
        <f>12000-6000</f>
        <v>6000</v>
      </c>
      <c r="I26" s="130">
        <f>9000-1435</f>
        <v>7565</v>
      </c>
      <c r="J26" s="130">
        <f>5282-1435</f>
        <v>3847</v>
      </c>
      <c r="K26" s="130">
        <f>I26-J26</f>
        <v>3718</v>
      </c>
      <c r="L26" s="131"/>
      <c r="M26" s="131"/>
      <c r="N26" s="131"/>
      <c r="O26" s="104"/>
      <c r="P26" s="300"/>
      <c r="Q26" s="122"/>
      <c r="R26" s="123"/>
      <c r="S26" s="124"/>
      <c r="T26" s="125"/>
    </row>
    <row r="27" spans="1:20" ht="15" outlineLevel="1">
      <c r="A27" s="126"/>
      <c r="B27" s="127"/>
      <c r="C27" s="132"/>
      <c r="D27" s="132"/>
      <c r="E27" s="133" t="s">
        <v>33</v>
      </c>
      <c r="F27" s="131">
        <v>6000</v>
      </c>
      <c r="G27" s="131">
        <v>6000</v>
      </c>
      <c r="H27" s="131">
        <v>6000</v>
      </c>
      <c r="I27" s="131">
        <v>6000</v>
      </c>
      <c r="J27" s="131"/>
      <c r="K27" s="131">
        <f>I27-J27</f>
        <v>6000</v>
      </c>
      <c r="L27" s="131"/>
      <c r="M27" s="131"/>
      <c r="N27" s="131"/>
      <c r="O27" s="104"/>
      <c r="P27" s="300"/>
      <c r="Q27" s="122"/>
      <c r="R27" s="123"/>
      <c r="S27" s="124"/>
      <c r="T27" s="125"/>
    </row>
    <row r="28" spans="1:21" ht="15" outlineLevel="1">
      <c r="A28" s="126"/>
      <c r="B28" s="127"/>
      <c r="C28" s="132"/>
      <c r="D28" s="132"/>
      <c r="E28" s="133" t="s">
        <v>34</v>
      </c>
      <c r="F28" s="131">
        <v>6900</v>
      </c>
      <c r="G28" s="131">
        <v>6900</v>
      </c>
      <c r="H28" s="131">
        <v>6900</v>
      </c>
      <c r="I28" s="131">
        <v>6900</v>
      </c>
      <c r="J28" s="131"/>
      <c r="K28" s="131">
        <f>I28-J28</f>
        <v>6900</v>
      </c>
      <c r="L28" s="131"/>
      <c r="M28" s="131"/>
      <c r="N28" s="131"/>
      <c r="O28" s="104"/>
      <c r="P28" s="300"/>
      <c r="Q28" s="122"/>
      <c r="R28" s="123"/>
      <c r="S28" s="124"/>
      <c r="T28" s="125"/>
      <c r="U28" s="134" t="e">
        <f>G28-'[2]ДЦП Благоуст. (29.01.13 с изм.)'!$S$10</f>
        <v>#VALUE!</v>
      </c>
    </row>
    <row r="29" spans="1:20" ht="15" outlineLevel="1">
      <c r="A29" s="117" t="s">
        <v>42</v>
      </c>
      <c r="B29" s="118" t="s">
        <v>43</v>
      </c>
      <c r="C29" s="119">
        <f>C30+C31+C32</f>
        <v>9890.4</v>
      </c>
      <c r="D29" s="119">
        <f>D30+D31+D32</f>
        <v>11274.099999999999</v>
      </c>
      <c r="E29" s="120" t="s">
        <v>30</v>
      </c>
      <c r="F29" s="121">
        <f aca="true" t="shared" si="8" ref="F29:L29">F30+F31+F32</f>
        <v>22500</v>
      </c>
      <c r="G29" s="121">
        <f t="shared" si="8"/>
        <v>24326.559999999998</v>
      </c>
      <c r="H29" s="121">
        <f t="shared" si="8"/>
        <v>18500</v>
      </c>
      <c r="I29" s="121">
        <f t="shared" si="8"/>
        <v>19500</v>
      </c>
      <c r="J29" s="121">
        <f t="shared" si="8"/>
        <v>1641</v>
      </c>
      <c r="K29" s="121">
        <f t="shared" si="8"/>
        <v>17859</v>
      </c>
      <c r="L29" s="121">
        <f t="shared" si="8"/>
        <v>0</v>
      </c>
      <c r="M29" s="121"/>
      <c r="N29" s="121"/>
      <c r="O29" s="104"/>
      <c r="P29" s="300"/>
      <c r="Q29" s="122" t="s">
        <v>39</v>
      </c>
      <c r="R29" s="123">
        <v>975.005</v>
      </c>
      <c r="S29" s="124"/>
      <c r="T29" s="125" t="str">
        <f>'[1]ДЦП Благоуст. (29.01.13 с изм.)'!E34</f>
        <v>2013 год</v>
      </c>
    </row>
    <row r="30" spans="1:20" ht="15" outlineLevel="1">
      <c r="A30" s="126"/>
      <c r="B30" s="127"/>
      <c r="C30" s="128">
        <f>412+175.3+346.6+379.5+408.2+218+1179.1+821.9+1525.1+568.6+3856.1</f>
        <v>9890.4</v>
      </c>
      <c r="D30" s="128">
        <f>1404.2+2469.5+2913.6+2586.8+1900</f>
        <v>11274.099999999999</v>
      </c>
      <c r="E30" s="129" t="s">
        <v>32</v>
      </c>
      <c r="F30" s="130">
        <f>4000+6000</f>
        <v>10000</v>
      </c>
      <c r="G30" s="130">
        <v>11826.56</v>
      </c>
      <c r="H30" s="130">
        <f>12000-6000</f>
        <v>6000</v>
      </c>
      <c r="I30" s="130">
        <v>7000</v>
      </c>
      <c r="J30" s="130">
        <v>1641</v>
      </c>
      <c r="K30" s="130">
        <f>I30-J30</f>
        <v>5359</v>
      </c>
      <c r="L30" s="131"/>
      <c r="M30" s="131"/>
      <c r="N30" s="131"/>
      <c r="O30" s="104"/>
      <c r="P30" s="300"/>
      <c r="Q30" s="122"/>
      <c r="R30" s="123"/>
      <c r="S30" s="124"/>
      <c r="T30" s="125"/>
    </row>
    <row r="31" spans="1:20" ht="15" outlineLevel="1">
      <c r="A31" s="126"/>
      <c r="B31" s="127"/>
      <c r="C31" s="132"/>
      <c r="D31" s="132"/>
      <c r="E31" s="133" t="s">
        <v>33</v>
      </c>
      <c r="F31" s="131">
        <v>6000</v>
      </c>
      <c r="G31" s="131">
        <v>6000</v>
      </c>
      <c r="H31" s="131">
        <v>6000</v>
      </c>
      <c r="I31" s="131">
        <v>6000</v>
      </c>
      <c r="J31" s="131"/>
      <c r="K31" s="131">
        <f>I31-J31</f>
        <v>6000</v>
      </c>
      <c r="L31" s="131"/>
      <c r="M31" s="131"/>
      <c r="N31" s="131"/>
      <c r="O31" s="104"/>
      <c r="P31" s="300"/>
      <c r="Q31" s="122"/>
      <c r="R31" s="123"/>
      <c r="S31" s="124"/>
      <c r="T31" s="125"/>
    </row>
    <row r="32" spans="1:21" ht="15" outlineLevel="1">
      <c r="A32" s="126"/>
      <c r="B32" s="127"/>
      <c r="C32" s="132"/>
      <c r="D32" s="132"/>
      <c r="E32" s="133" t="s">
        <v>34</v>
      </c>
      <c r="F32" s="131">
        <v>6500</v>
      </c>
      <c r="G32" s="131">
        <v>6500</v>
      </c>
      <c r="H32" s="131">
        <v>6500</v>
      </c>
      <c r="I32" s="131">
        <v>6500</v>
      </c>
      <c r="J32" s="131"/>
      <c r="K32" s="131">
        <f>I32-J32</f>
        <v>6500</v>
      </c>
      <c r="L32" s="131"/>
      <c r="M32" s="131"/>
      <c r="N32" s="131"/>
      <c r="O32" s="104"/>
      <c r="P32" s="300"/>
      <c r="Q32" s="122"/>
      <c r="R32" s="123"/>
      <c r="S32" s="124"/>
      <c r="T32" s="125"/>
      <c r="U32" s="134" t="e">
        <f>G32-'[2]ДЦП Благоуст. (29.01.13 с изм.)'!$S$11</f>
        <v>#REF!</v>
      </c>
    </row>
    <row r="33" spans="1:20" ht="30" outlineLevel="1">
      <c r="A33" s="117" t="s">
        <v>44</v>
      </c>
      <c r="B33" s="118" t="s">
        <v>45</v>
      </c>
      <c r="C33" s="119">
        <f>C34+C35+C36</f>
        <v>7018.4</v>
      </c>
      <c r="D33" s="119">
        <f>D34+D35+D36</f>
        <v>7891.9</v>
      </c>
      <c r="E33" s="120" t="s">
        <v>30</v>
      </c>
      <c r="F33" s="121">
        <f aca="true" t="shared" si="9" ref="F33:L33">F34+F35+F36</f>
        <v>21240</v>
      </c>
      <c r="G33" s="121">
        <f t="shared" si="9"/>
        <v>22362.18</v>
      </c>
      <c r="H33" s="121">
        <f t="shared" si="9"/>
        <v>18000</v>
      </c>
      <c r="I33" s="121">
        <f t="shared" si="9"/>
        <v>21430</v>
      </c>
      <c r="J33" s="121">
        <f t="shared" si="9"/>
        <v>5407</v>
      </c>
      <c r="K33" s="121">
        <f t="shared" si="9"/>
        <v>16023</v>
      </c>
      <c r="L33" s="121">
        <f t="shared" si="9"/>
        <v>0</v>
      </c>
      <c r="M33" s="121"/>
      <c r="N33" s="121"/>
      <c r="O33" s="104"/>
      <c r="P33" s="300"/>
      <c r="Q33" s="122" t="s">
        <v>46</v>
      </c>
      <c r="R33" s="135">
        <v>6763</v>
      </c>
      <c r="S33" s="124"/>
      <c r="T33" s="125" t="str">
        <f>'[1]ДЦП Благоуст. (29.01.13 с изм.)'!E64</f>
        <v>2015 год</v>
      </c>
    </row>
    <row r="34" spans="1:20" ht="15" outlineLevel="1">
      <c r="A34" s="126"/>
      <c r="B34" s="127"/>
      <c r="C34" s="128">
        <v>7018.4</v>
      </c>
      <c r="D34" s="128">
        <v>7891.9</v>
      </c>
      <c r="E34" s="129" t="s">
        <v>32</v>
      </c>
      <c r="F34" s="130">
        <f>3891+3349</f>
        <v>7240</v>
      </c>
      <c r="G34" s="130">
        <v>8362.18</v>
      </c>
      <c r="H34" s="130">
        <f>8000-4000</f>
        <v>4000</v>
      </c>
      <c r="I34" s="130">
        <v>7430</v>
      </c>
      <c r="J34" s="130">
        <v>5407</v>
      </c>
      <c r="K34" s="130">
        <f>I34-J34</f>
        <v>2023</v>
      </c>
      <c r="L34" s="131"/>
      <c r="M34" s="131"/>
      <c r="N34" s="131"/>
      <c r="O34" s="104"/>
      <c r="P34" s="300"/>
      <c r="Q34" s="122"/>
      <c r="R34" s="135"/>
      <c r="S34" s="124"/>
      <c r="T34" s="125"/>
    </row>
    <row r="35" spans="1:20" ht="15" outlineLevel="1">
      <c r="A35" s="126"/>
      <c r="B35" s="127"/>
      <c r="C35" s="132"/>
      <c r="D35" s="132"/>
      <c r="E35" s="133" t="s">
        <v>33</v>
      </c>
      <c r="F35" s="131">
        <v>7000</v>
      </c>
      <c r="G35" s="131">
        <v>7000</v>
      </c>
      <c r="H35" s="131">
        <v>7000</v>
      </c>
      <c r="I35" s="131">
        <v>7000</v>
      </c>
      <c r="J35" s="131"/>
      <c r="K35" s="131">
        <f>I35-J35</f>
        <v>7000</v>
      </c>
      <c r="L35" s="131"/>
      <c r="M35" s="131"/>
      <c r="N35" s="131"/>
      <c r="O35" s="104"/>
      <c r="P35" s="300"/>
      <c r="Q35" s="122"/>
      <c r="R35" s="135"/>
      <c r="S35" s="124"/>
      <c r="T35" s="125"/>
    </row>
    <row r="36" spans="1:21" ht="15" outlineLevel="1">
      <c r="A36" s="126"/>
      <c r="B36" s="127"/>
      <c r="C36" s="132"/>
      <c r="D36" s="132"/>
      <c r="E36" s="133" t="s">
        <v>34</v>
      </c>
      <c r="F36" s="131">
        <v>7000</v>
      </c>
      <c r="G36" s="131">
        <v>7000</v>
      </c>
      <c r="H36" s="131">
        <v>7000</v>
      </c>
      <c r="I36" s="131">
        <v>7000</v>
      </c>
      <c r="J36" s="131"/>
      <c r="K36" s="131">
        <f>I36-J36</f>
        <v>7000</v>
      </c>
      <c r="L36" s="131"/>
      <c r="M36" s="131"/>
      <c r="N36" s="131"/>
      <c r="O36" s="104"/>
      <c r="P36" s="300"/>
      <c r="Q36" s="122"/>
      <c r="R36" s="135"/>
      <c r="S36" s="124"/>
      <c r="T36" s="125"/>
      <c r="U36" s="134" t="e">
        <f>G36-'[2]ДЦП Благоуст. (29.01.13 с изм.)'!$S$12</f>
        <v>#REF!</v>
      </c>
    </row>
    <row r="37" spans="1:20" ht="15" outlineLevel="1">
      <c r="A37" s="117" t="s">
        <v>47</v>
      </c>
      <c r="B37" s="118" t="s">
        <v>48</v>
      </c>
      <c r="C37" s="119">
        <f>C38+C39+C40</f>
        <v>22613.5</v>
      </c>
      <c r="D37" s="119">
        <f>D38+D39+D40</f>
        <v>25562.9</v>
      </c>
      <c r="E37" s="120" t="s">
        <v>30</v>
      </c>
      <c r="F37" s="121">
        <f aca="true" t="shared" si="10" ref="F37:L37">F38+F39+F40</f>
        <v>44000</v>
      </c>
      <c r="G37" s="121">
        <f t="shared" si="10"/>
        <v>65815.45999999999</v>
      </c>
      <c r="H37" s="121">
        <f t="shared" si="10"/>
        <v>65815.45999999999</v>
      </c>
      <c r="I37" s="121">
        <f t="shared" si="10"/>
        <v>58740</v>
      </c>
      <c r="J37" s="121">
        <f t="shared" si="10"/>
        <v>2730</v>
      </c>
      <c r="K37" s="121">
        <f t="shared" si="10"/>
        <v>56010</v>
      </c>
      <c r="L37" s="121">
        <f t="shared" si="10"/>
        <v>0</v>
      </c>
      <c r="M37" s="121"/>
      <c r="N37" s="121"/>
      <c r="O37" s="104"/>
      <c r="P37" s="300"/>
      <c r="Q37" s="122" t="s">
        <v>49</v>
      </c>
      <c r="R37" s="123">
        <v>41.3</v>
      </c>
      <c r="S37" s="124"/>
      <c r="T37" s="125" t="str">
        <f>'[1]ДЦП Благоуст. (29.01.13 с изм.)'!E35</f>
        <v>2014 год</v>
      </c>
    </row>
    <row r="38" spans="1:20" ht="15" outlineLevel="1">
      <c r="A38" s="126"/>
      <c r="B38" s="127"/>
      <c r="C38" s="128">
        <v>22613.5</v>
      </c>
      <c r="D38" s="128">
        <v>25562.9</v>
      </c>
      <c r="E38" s="129" t="s">
        <v>32</v>
      </c>
      <c r="F38" s="130">
        <f>0+5000</f>
        <v>5000</v>
      </c>
      <c r="G38" s="130">
        <v>26815.46</v>
      </c>
      <c r="H38" s="130">
        <v>26815.46</v>
      </c>
      <c r="I38" s="130">
        <f>5000-2270+15500+910</f>
        <v>19140</v>
      </c>
      <c r="J38" s="130">
        <v>2730</v>
      </c>
      <c r="K38" s="130">
        <f>I38-J38</f>
        <v>16410</v>
      </c>
      <c r="L38" s="131"/>
      <c r="M38" s="131"/>
      <c r="N38" s="131"/>
      <c r="O38" s="104"/>
      <c r="P38" s="300"/>
      <c r="Q38" s="122"/>
      <c r="R38" s="123"/>
      <c r="S38" s="124"/>
      <c r="T38" s="125"/>
    </row>
    <row r="39" spans="1:20" ht="15" outlineLevel="1">
      <c r="A39" s="126"/>
      <c r="B39" s="127"/>
      <c r="C39" s="132"/>
      <c r="D39" s="132"/>
      <c r="E39" s="133" t="s">
        <v>33</v>
      </c>
      <c r="F39" s="131">
        <v>19000</v>
      </c>
      <c r="G39" s="131">
        <v>19000</v>
      </c>
      <c r="H39" s="131">
        <v>19000</v>
      </c>
      <c r="I39" s="131">
        <f>19000+300</f>
        <v>19300</v>
      </c>
      <c r="J39" s="131"/>
      <c r="K39" s="131">
        <f>I39-J39</f>
        <v>19300</v>
      </c>
      <c r="L39" s="131"/>
      <c r="M39" s="131"/>
      <c r="N39" s="131"/>
      <c r="O39" s="104"/>
      <c r="P39" s="300"/>
      <c r="Q39" s="122"/>
      <c r="R39" s="123"/>
      <c r="S39" s="124"/>
      <c r="T39" s="125"/>
    </row>
    <row r="40" spans="1:21" ht="15" outlineLevel="1">
      <c r="A40" s="126"/>
      <c r="B40" s="127"/>
      <c r="C40" s="132"/>
      <c r="D40" s="132"/>
      <c r="E40" s="133" t="s">
        <v>34</v>
      </c>
      <c r="F40" s="131">
        <v>20000</v>
      </c>
      <c r="G40" s="131">
        <v>20000</v>
      </c>
      <c r="H40" s="131">
        <v>20000</v>
      </c>
      <c r="I40" s="131">
        <f>20000+300</f>
        <v>20300</v>
      </c>
      <c r="J40" s="131"/>
      <c r="K40" s="131">
        <f>I40-J40</f>
        <v>20300</v>
      </c>
      <c r="L40" s="131"/>
      <c r="M40" s="131"/>
      <c r="N40" s="131"/>
      <c r="O40" s="104"/>
      <c r="P40" s="300"/>
      <c r="Q40" s="122"/>
      <c r="R40" s="123"/>
      <c r="S40" s="124"/>
      <c r="T40" s="125"/>
      <c r="U40" s="134" t="e">
        <f>G40-'[2]ДЦП Благоуст. (29.01.13 с изм.)'!$S$13</f>
        <v>#REF!</v>
      </c>
    </row>
    <row r="41" spans="1:20" ht="30" outlineLevel="1">
      <c r="A41" s="117" t="s">
        <v>50</v>
      </c>
      <c r="B41" s="118" t="s">
        <v>51</v>
      </c>
      <c r="C41" s="119">
        <f>C42+C43+C44</f>
        <v>3839.07</v>
      </c>
      <c r="D41" s="119">
        <f>D42+D43+D44</f>
        <v>4258.2</v>
      </c>
      <c r="E41" s="120" t="s">
        <v>30</v>
      </c>
      <c r="F41" s="121">
        <f aca="true" t="shared" si="11" ref="F41:L41">F42+F43+F44</f>
        <v>6500</v>
      </c>
      <c r="G41" s="121">
        <f t="shared" si="11"/>
        <v>10966.86</v>
      </c>
      <c r="H41" s="121">
        <f t="shared" si="11"/>
        <v>10800</v>
      </c>
      <c r="I41" s="121">
        <f t="shared" si="11"/>
        <v>10935</v>
      </c>
      <c r="J41" s="121">
        <f t="shared" si="11"/>
        <v>1435</v>
      </c>
      <c r="K41" s="121">
        <f t="shared" si="11"/>
        <v>9500</v>
      </c>
      <c r="L41" s="121">
        <f t="shared" si="11"/>
        <v>0</v>
      </c>
      <c r="M41" s="121"/>
      <c r="N41" s="121"/>
      <c r="O41" s="104"/>
      <c r="P41" s="300"/>
      <c r="Q41" s="122" t="s">
        <v>39</v>
      </c>
      <c r="R41" s="136">
        <f>55.69+20.85</f>
        <v>76.53999999999999</v>
      </c>
      <c r="S41" s="124"/>
      <c r="T41" s="125" t="str">
        <f>'[1]ДЦП Благоуст. (29.01.13 с изм.)'!E45</f>
        <v>2013-2015 годы</v>
      </c>
    </row>
    <row r="42" spans="1:20" ht="15" outlineLevel="1">
      <c r="A42" s="126"/>
      <c r="B42" s="127"/>
      <c r="C42" s="128">
        <f>20.2+20.2+97.3+22.7+22.7+11.97+3644</f>
        <v>3839.07</v>
      </c>
      <c r="D42" s="128">
        <f>4258.2</f>
        <v>4258.2</v>
      </c>
      <c r="E42" s="129" t="s">
        <v>32</v>
      </c>
      <c r="F42" s="130">
        <v>0</v>
      </c>
      <c r="G42" s="130">
        <v>4466.86</v>
      </c>
      <c r="H42" s="130">
        <v>4300</v>
      </c>
      <c r="I42" s="130">
        <f>1435+3000</f>
        <v>4435</v>
      </c>
      <c r="J42" s="130">
        <v>1435</v>
      </c>
      <c r="K42" s="130">
        <f>I42-J42</f>
        <v>3000</v>
      </c>
      <c r="L42" s="131"/>
      <c r="M42" s="131"/>
      <c r="N42" s="131"/>
      <c r="O42" s="104"/>
      <c r="P42" s="300"/>
      <c r="Q42" s="122"/>
      <c r="R42" s="136"/>
      <c r="S42" s="124"/>
      <c r="T42" s="125"/>
    </row>
    <row r="43" spans="1:20" ht="15" outlineLevel="1">
      <c r="A43" s="126"/>
      <c r="B43" s="127"/>
      <c r="C43" s="132"/>
      <c r="D43" s="132"/>
      <c r="E43" s="133" t="s">
        <v>33</v>
      </c>
      <c r="F43" s="131">
        <v>3000</v>
      </c>
      <c r="G43" s="131">
        <v>3000</v>
      </c>
      <c r="H43" s="131">
        <v>3000</v>
      </c>
      <c r="I43" s="131">
        <v>3000</v>
      </c>
      <c r="J43" s="131"/>
      <c r="K43" s="131">
        <f>I43-J43</f>
        <v>3000</v>
      </c>
      <c r="L43" s="131"/>
      <c r="M43" s="131"/>
      <c r="N43" s="131"/>
      <c r="O43" s="104"/>
      <c r="P43" s="300"/>
      <c r="Q43" s="122"/>
      <c r="R43" s="136"/>
      <c r="S43" s="124"/>
      <c r="T43" s="125"/>
    </row>
    <row r="44" spans="1:21" ht="15" outlineLevel="1">
      <c r="A44" s="126"/>
      <c r="B44" s="127"/>
      <c r="C44" s="132"/>
      <c r="D44" s="132"/>
      <c r="E44" s="133" t="s">
        <v>34</v>
      </c>
      <c r="F44" s="131">
        <v>3500</v>
      </c>
      <c r="G44" s="131">
        <v>3500</v>
      </c>
      <c r="H44" s="131">
        <v>3500</v>
      </c>
      <c r="I44" s="131">
        <v>3500</v>
      </c>
      <c r="J44" s="131"/>
      <c r="K44" s="131">
        <f>I44-J44</f>
        <v>3500</v>
      </c>
      <c r="L44" s="131"/>
      <c r="M44" s="131"/>
      <c r="N44" s="131"/>
      <c r="O44" s="104"/>
      <c r="P44" s="300"/>
      <c r="Q44" s="122"/>
      <c r="R44" s="136"/>
      <c r="S44" s="124"/>
      <c r="T44" s="125"/>
      <c r="U44" s="134" t="e">
        <f>G44-'[2]ДЦП Благоуст. (29.01.13 с изм.)'!$S$23</f>
        <v>#REF!</v>
      </c>
    </row>
    <row r="45" spans="1:20" ht="15" outlineLevel="1">
      <c r="A45" s="117" t="s">
        <v>52</v>
      </c>
      <c r="B45" s="118" t="s">
        <v>174</v>
      </c>
      <c r="C45" s="119">
        <f>C46+C47+C48</f>
        <v>1626.9</v>
      </c>
      <c r="D45" s="119">
        <f>D46+D47+D48</f>
        <v>1432.8</v>
      </c>
      <c r="E45" s="120" t="s">
        <v>30</v>
      </c>
      <c r="F45" s="121">
        <f aca="true" t="shared" si="12" ref="F45:L45">F46+F47+F48</f>
        <v>4200</v>
      </c>
      <c r="G45" s="121">
        <f t="shared" si="12"/>
        <v>4303.03</v>
      </c>
      <c r="H45" s="121">
        <f t="shared" si="12"/>
        <v>4300</v>
      </c>
      <c r="I45" s="121">
        <f t="shared" si="12"/>
        <v>5324</v>
      </c>
      <c r="J45" s="121">
        <f t="shared" si="12"/>
        <v>1074</v>
      </c>
      <c r="K45" s="121">
        <f t="shared" si="12"/>
        <v>4250</v>
      </c>
      <c r="L45" s="121">
        <f t="shared" si="12"/>
        <v>0</v>
      </c>
      <c r="M45" s="121"/>
      <c r="N45" s="121"/>
      <c r="O45" s="104"/>
      <c r="P45" s="300"/>
      <c r="Q45" s="122" t="s">
        <v>49</v>
      </c>
      <c r="R45" s="123">
        <v>41.3</v>
      </c>
      <c r="S45" s="124"/>
      <c r="T45" s="125" t="str">
        <f>'[1]ДЦП Благоуст. (29.01.13 с изм.)'!E46</f>
        <v>2013 год</v>
      </c>
    </row>
    <row r="46" spans="1:20" ht="15" outlineLevel="1">
      <c r="A46" s="126"/>
      <c r="B46" s="127"/>
      <c r="C46" s="128">
        <f>1598+28.9</f>
        <v>1626.9</v>
      </c>
      <c r="D46" s="128">
        <f>1432.8</f>
        <v>1432.8</v>
      </c>
      <c r="E46" s="129" t="s">
        <v>32</v>
      </c>
      <c r="F46" s="130">
        <v>1400</v>
      </c>
      <c r="G46" s="130">
        <v>1503.03</v>
      </c>
      <c r="H46" s="130">
        <v>1500</v>
      </c>
      <c r="I46" s="130">
        <f>1774+750</f>
        <v>2524</v>
      </c>
      <c r="J46" s="130">
        <v>1074</v>
      </c>
      <c r="K46" s="130">
        <f>I46-J46</f>
        <v>1450</v>
      </c>
      <c r="L46" s="131"/>
      <c r="M46" s="131"/>
      <c r="N46" s="131"/>
      <c r="O46" s="104"/>
      <c r="P46" s="300"/>
      <c r="Q46" s="122"/>
      <c r="R46" s="123"/>
      <c r="S46" s="124"/>
      <c r="T46" s="125"/>
    </row>
    <row r="47" spans="1:20" ht="15" outlineLevel="1">
      <c r="A47" s="126"/>
      <c r="B47" s="127"/>
      <c r="C47" s="132"/>
      <c r="D47" s="132"/>
      <c r="E47" s="133" t="s">
        <v>33</v>
      </c>
      <c r="F47" s="131">
        <v>1400</v>
      </c>
      <c r="G47" s="131">
        <v>1400</v>
      </c>
      <c r="H47" s="131">
        <v>1400</v>
      </c>
      <c r="I47" s="131">
        <v>1400</v>
      </c>
      <c r="J47" s="131"/>
      <c r="K47" s="131">
        <f>I47-J47</f>
        <v>1400</v>
      </c>
      <c r="L47" s="131"/>
      <c r="M47" s="131"/>
      <c r="N47" s="131"/>
      <c r="O47" s="104"/>
      <c r="P47" s="300"/>
      <c r="Q47" s="122"/>
      <c r="R47" s="123"/>
      <c r="S47" s="124"/>
      <c r="T47" s="125"/>
    </row>
    <row r="48" spans="1:21" ht="15" outlineLevel="1">
      <c r="A48" s="126"/>
      <c r="B48" s="127"/>
      <c r="C48" s="132"/>
      <c r="D48" s="132"/>
      <c r="E48" s="133" t="s">
        <v>34</v>
      </c>
      <c r="F48" s="131">
        <v>1400</v>
      </c>
      <c r="G48" s="131">
        <v>1400</v>
      </c>
      <c r="H48" s="131">
        <v>1400</v>
      </c>
      <c r="I48" s="131">
        <v>1400</v>
      </c>
      <c r="J48" s="131"/>
      <c r="K48" s="131">
        <f>I48-J48</f>
        <v>1400</v>
      </c>
      <c r="L48" s="131"/>
      <c r="M48" s="131"/>
      <c r="N48" s="131"/>
      <c r="O48" s="104"/>
      <c r="P48" s="300"/>
      <c r="Q48" s="122"/>
      <c r="R48" s="123"/>
      <c r="S48" s="124"/>
      <c r="T48" s="125"/>
      <c r="U48" s="134" t="e">
        <f>G48-'[2]ДЦП Благоуст. (29.01.13 с изм.)'!$S$24</f>
        <v>#REF!</v>
      </c>
    </row>
    <row r="49" spans="1:20" ht="15" outlineLevel="1">
      <c r="A49" s="117" t="s">
        <v>53</v>
      </c>
      <c r="B49" s="118" t="s">
        <v>175</v>
      </c>
      <c r="C49" s="119">
        <f>C50+C51+C52</f>
        <v>10000</v>
      </c>
      <c r="D49" s="119">
        <f>D50+D51+D52</f>
        <v>11035.2</v>
      </c>
      <c r="E49" s="120" t="s">
        <v>30</v>
      </c>
      <c r="F49" s="121">
        <f aca="true" t="shared" si="13" ref="F49:L49">F50+F51+F52</f>
        <v>26500</v>
      </c>
      <c r="G49" s="121">
        <f t="shared" si="13"/>
        <v>29534.04</v>
      </c>
      <c r="H49" s="121">
        <f t="shared" si="13"/>
        <v>27000</v>
      </c>
      <c r="I49" s="121">
        <f t="shared" si="13"/>
        <v>25802</v>
      </c>
      <c r="J49" s="121">
        <f t="shared" si="13"/>
        <v>9802</v>
      </c>
      <c r="K49" s="121">
        <f t="shared" si="13"/>
        <v>16000</v>
      </c>
      <c r="L49" s="121">
        <f t="shared" si="13"/>
        <v>0</v>
      </c>
      <c r="M49" s="121"/>
      <c r="N49" s="121"/>
      <c r="O49" s="104"/>
      <c r="P49" s="300"/>
      <c r="Q49" s="122" t="s">
        <v>39</v>
      </c>
      <c r="R49" s="123">
        <v>14</v>
      </c>
      <c r="S49" s="124"/>
      <c r="T49" s="125" t="str">
        <f>'[1]ДЦП Благоуст. (29.01.13 с изм.)'!E47</f>
        <v>2014 год</v>
      </c>
    </row>
    <row r="50" spans="1:20" ht="15" outlineLevel="1">
      <c r="A50" s="126"/>
      <c r="B50" s="127"/>
      <c r="C50" s="128">
        <v>10000</v>
      </c>
      <c r="D50" s="128">
        <f>10526.7+(11000-8635-1856.5)</f>
        <v>11035.2</v>
      </c>
      <c r="E50" s="129" t="s">
        <v>32</v>
      </c>
      <c r="F50" s="130">
        <f>8000+2500</f>
        <v>10500</v>
      </c>
      <c r="G50" s="130">
        <v>13534.04</v>
      </c>
      <c r="H50" s="130">
        <v>11000</v>
      </c>
      <c r="I50" s="130">
        <v>9802</v>
      </c>
      <c r="J50" s="130">
        <v>9802</v>
      </c>
      <c r="K50" s="130">
        <f>I50-J50</f>
        <v>0</v>
      </c>
      <c r="L50" s="131"/>
      <c r="M50" s="131"/>
      <c r="N50" s="131"/>
      <c r="O50" s="104"/>
      <c r="P50" s="300"/>
      <c r="Q50" s="122"/>
      <c r="R50" s="123"/>
      <c r="S50" s="124"/>
      <c r="T50" s="125"/>
    </row>
    <row r="51" spans="1:20" ht="15" outlineLevel="1">
      <c r="A51" s="126"/>
      <c r="B51" s="127"/>
      <c r="C51" s="132"/>
      <c r="D51" s="132"/>
      <c r="E51" s="133" t="s">
        <v>33</v>
      </c>
      <c r="F51" s="131">
        <v>8000</v>
      </c>
      <c r="G51" s="131">
        <v>8000</v>
      </c>
      <c r="H51" s="131">
        <v>8000</v>
      </c>
      <c r="I51" s="131">
        <v>8000</v>
      </c>
      <c r="J51" s="131"/>
      <c r="K51" s="131">
        <f>I51-J51</f>
        <v>8000</v>
      </c>
      <c r="L51" s="131"/>
      <c r="M51" s="131"/>
      <c r="N51" s="131"/>
      <c r="O51" s="104"/>
      <c r="P51" s="300"/>
      <c r="Q51" s="122"/>
      <c r="R51" s="123"/>
      <c r="S51" s="124"/>
      <c r="T51" s="125"/>
    </row>
    <row r="52" spans="1:21" ht="15" outlineLevel="1">
      <c r="A52" s="126"/>
      <c r="B52" s="127"/>
      <c r="C52" s="132"/>
      <c r="D52" s="132"/>
      <c r="E52" s="133" t="s">
        <v>34</v>
      </c>
      <c r="F52" s="131">
        <v>8000</v>
      </c>
      <c r="G52" s="131">
        <v>8000</v>
      </c>
      <c r="H52" s="131">
        <v>8000</v>
      </c>
      <c r="I52" s="131">
        <v>8000</v>
      </c>
      <c r="J52" s="131"/>
      <c r="K52" s="131">
        <f>I52-J52</f>
        <v>8000</v>
      </c>
      <c r="L52" s="131"/>
      <c r="M52" s="131"/>
      <c r="N52" s="131"/>
      <c r="O52" s="104"/>
      <c r="P52" s="300"/>
      <c r="Q52" s="122"/>
      <c r="R52" s="123"/>
      <c r="S52" s="124"/>
      <c r="T52" s="125"/>
      <c r="U52" s="134" t="e">
        <f>G52-'[2]ДЦП Благоуст. (29.01.13 с изм.)'!$S$25</f>
        <v>#REF!</v>
      </c>
    </row>
    <row r="53" spans="1:20" ht="15" outlineLevel="1">
      <c r="A53" s="117" t="s">
        <v>54</v>
      </c>
      <c r="B53" s="118" t="s">
        <v>55</v>
      </c>
      <c r="C53" s="119">
        <f>C54+C55+C56</f>
        <v>3575</v>
      </c>
      <c r="D53" s="119">
        <f>D54+D55+D56</f>
        <v>2375.1</v>
      </c>
      <c r="E53" s="120" t="s">
        <v>30</v>
      </c>
      <c r="F53" s="121">
        <f aca="true" t="shared" si="14" ref="F53:L53">F54+F55+F56</f>
        <v>3000</v>
      </c>
      <c r="G53" s="121">
        <f t="shared" si="14"/>
        <v>7000</v>
      </c>
      <c r="H53" s="121">
        <f t="shared" si="14"/>
        <v>7000</v>
      </c>
      <c r="I53" s="121">
        <f t="shared" si="14"/>
        <v>3000</v>
      </c>
      <c r="J53" s="121">
        <f t="shared" si="14"/>
        <v>0</v>
      </c>
      <c r="K53" s="121">
        <f t="shared" si="14"/>
        <v>3000</v>
      </c>
      <c r="L53" s="121">
        <f t="shared" si="14"/>
        <v>0</v>
      </c>
      <c r="M53" s="121"/>
      <c r="N53" s="121"/>
      <c r="O53" s="104"/>
      <c r="P53" s="300"/>
      <c r="Q53" s="122" t="s">
        <v>39</v>
      </c>
      <c r="R53" s="123">
        <v>4</v>
      </c>
      <c r="S53" s="124"/>
      <c r="T53" s="125" t="str">
        <f>'[1]ДЦП Благоуст. (29.01.13 с изм.)'!E51</f>
        <v>2014 год</v>
      </c>
    </row>
    <row r="54" spans="1:20" ht="15" outlineLevel="1">
      <c r="A54" s="126"/>
      <c r="B54" s="127"/>
      <c r="C54" s="128">
        <f>1000+2375.2+99.9+99.9</f>
        <v>3575</v>
      </c>
      <c r="D54" s="128">
        <f>2375.1</f>
        <v>2375.1</v>
      </c>
      <c r="E54" s="129" t="s">
        <v>32</v>
      </c>
      <c r="F54" s="130">
        <v>0</v>
      </c>
      <c r="G54" s="130">
        <v>4000</v>
      </c>
      <c r="H54" s="130">
        <v>4000</v>
      </c>
      <c r="I54" s="130">
        <v>0</v>
      </c>
      <c r="J54" s="130"/>
      <c r="K54" s="130">
        <f>I54-J54</f>
        <v>0</v>
      </c>
      <c r="L54" s="131"/>
      <c r="M54" s="131"/>
      <c r="N54" s="131"/>
      <c r="O54" s="104"/>
      <c r="P54" s="300"/>
      <c r="Q54" s="122"/>
      <c r="R54" s="123"/>
      <c r="S54" s="124"/>
      <c r="T54" s="125"/>
    </row>
    <row r="55" spans="1:20" ht="15" outlineLevel="1">
      <c r="A55" s="126"/>
      <c r="B55" s="127"/>
      <c r="C55" s="132"/>
      <c r="D55" s="132"/>
      <c r="E55" s="133" t="s">
        <v>33</v>
      </c>
      <c r="F55" s="131">
        <v>1500</v>
      </c>
      <c r="G55" s="131">
        <v>1500</v>
      </c>
      <c r="H55" s="131">
        <v>1500</v>
      </c>
      <c r="I55" s="131">
        <v>1500</v>
      </c>
      <c r="J55" s="131"/>
      <c r="K55" s="131">
        <f>I55-J55</f>
        <v>1500</v>
      </c>
      <c r="L55" s="131"/>
      <c r="M55" s="131"/>
      <c r="N55" s="131"/>
      <c r="O55" s="104"/>
      <c r="P55" s="300"/>
      <c r="Q55" s="122"/>
      <c r="R55" s="123"/>
      <c r="S55" s="124"/>
      <c r="T55" s="125"/>
    </row>
    <row r="56" spans="1:21" ht="15" outlineLevel="1">
      <c r="A56" s="126"/>
      <c r="B56" s="127"/>
      <c r="C56" s="132"/>
      <c r="D56" s="132"/>
      <c r="E56" s="133" t="s">
        <v>34</v>
      </c>
      <c r="F56" s="131">
        <v>1500</v>
      </c>
      <c r="G56" s="131">
        <v>1500</v>
      </c>
      <c r="H56" s="131">
        <v>1500</v>
      </c>
      <c r="I56" s="131">
        <v>1500</v>
      </c>
      <c r="J56" s="131"/>
      <c r="K56" s="131">
        <f>I56-J56</f>
        <v>1500</v>
      </c>
      <c r="L56" s="131"/>
      <c r="M56" s="131"/>
      <c r="N56" s="131"/>
      <c r="O56" s="104"/>
      <c r="P56" s="300"/>
      <c r="Q56" s="122"/>
      <c r="R56" s="123"/>
      <c r="S56" s="124"/>
      <c r="T56" s="125"/>
      <c r="U56" s="134" t="e">
        <f>G56-'[2]ДЦП Благоуст. (29.01.13 с изм.)'!$S$26</f>
        <v>#REF!</v>
      </c>
    </row>
    <row r="57" spans="1:20" ht="15" outlineLevel="1">
      <c r="A57" s="117" t="s">
        <v>56</v>
      </c>
      <c r="B57" s="118" t="s">
        <v>57</v>
      </c>
      <c r="C57" s="119">
        <f>C58+C59+C60</f>
        <v>0</v>
      </c>
      <c r="D57" s="119">
        <f>D58+D59+D60</f>
        <v>4023.8</v>
      </c>
      <c r="E57" s="120" t="s">
        <v>30</v>
      </c>
      <c r="F57" s="121">
        <f aca="true" t="shared" si="15" ref="F57:L57">F58+F59+F60</f>
        <v>1500</v>
      </c>
      <c r="G57" s="121">
        <f t="shared" si="15"/>
        <v>4162.63</v>
      </c>
      <c r="H57" s="121">
        <f t="shared" si="15"/>
        <v>3500</v>
      </c>
      <c r="I57" s="121">
        <f t="shared" si="15"/>
        <v>4547</v>
      </c>
      <c r="J57" s="121">
        <f t="shared" si="15"/>
        <v>4047</v>
      </c>
      <c r="K57" s="121">
        <f t="shared" si="15"/>
        <v>500</v>
      </c>
      <c r="L57" s="121">
        <f t="shared" si="15"/>
        <v>0</v>
      </c>
      <c r="M57" s="121"/>
      <c r="N57" s="121"/>
      <c r="O57" s="104"/>
      <c r="P57" s="300"/>
      <c r="Q57" s="122" t="s">
        <v>58</v>
      </c>
      <c r="R57" s="135">
        <v>3550</v>
      </c>
      <c r="S57" s="124"/>
      <c r="T57" s="125" t="str">
        <f>'[1]ДЦП Благоуст. (29.01.13 с изм.)'!E55</f>
        <v>2014 год</v>
      </c>
    </row>
    <row r="58" spans="1:20" ht="15" outlineLevel="1">
      <c r="A58" s="126"/>
      <c r="B58" s="127"/>
      <c r="C58" s="128"/>
      <c r="D58" s="128">
        <f>498+1964.9+1560.9</f>
        <v>4023.8</v>
      </c>
      <c r="E58" s="129" t="s">
        <v>32</v>
      </c>
      <c r="F58" s="130">
        <v>1000</v>
      </c>
      <c r="G58" s="130">
        <v>3662.63</v>
      </c>
      <c r="H58" s="130">
        <v>3000</v>
      </c>
      <c r="I58" s="130">
        <f>4047</f>
        <v>4047</v>
      </c>
      <c r="J58" s="130">
        <f>4047</f>
        <v>4047</v>
      </c>
      <c r="K58" s="130">
        <f>I58-J58</f>
        <v>0</v>
      </c>
      <c r="L58" s="131"/>
      <c r="M58" s="131"/>
      <c r="N58" s="131"/>
      <c r="O58" s="104"/>
      <c r="P58" s="300"/>
      <c r="Q58" s="122"/>
      <c r="R58" s="135"/>
      <c r="S58" s="124"/>
      <c r="T58" s="125"/>
    </row>
    <row r="59" spans="1:20" ht="15" outlineLevel="1">
      <c r="A59" s="126"/>
      <c r="B59" s="127"/>
      <c r="C59" s="132"/>
      <c r="D59" s="132"/>
      <c r="E59" s="133" t="s">
        <v>33</v>
      </c>
      <c r="F59" s="131"/>
      <c r="G59" s="131"/>
      <c r="H59" s="131"/>
      <c r="I59" s="131"/>
      <c r="J59" s="131"/>
      <c r="K59" s="131">
        <f>I59-J59</f>
        <v>0</v>
      </c>
      <c r="L59" s="131"/>
      <c r="M59" s="131"/>
      <c r="N59" s="131"/>
      <c r="O59" s="104"/>
      <c r="P59" s="300"/>
      <c r="Q59" s="122"/>
      <c r="R59" s="135"/>
      <c r="S59" s="124"/>
      <c r="T59" s="125"/>
    </row>
    <row r="60" spans="1:21" ht="15" outlineLevel="1">
      <c r="A60" s="126"/>
      <c r="B60" s="127"/>
      <c r="C60" s="132"/>
      <c r="D60" s="132"/>
      <c r="E60" s="133" t="s">
        <v>34</v>
      </c>
      <c r="F60" s="131">
        <v>500</v>
      </c>
      <c r="G60" s="131">
        <v>500</v>
      </c>
      <c r="H60" s="131">
        <v>500</v>
      </c>
      <c r="I60" s="131">
        <v>500</v>
      </c>
      <c r="J60" s="131"/>
      <c r="K60" s="131">
        <f>I60-J60</f>
        <v>500</v>
      </c>
      <c r="L60" s="131"/>
      <c r="M60" s="131"/>
      <c r="N60" s="131"/>
      <c r="O60" s="104"/>
      <c r="P60" s="300"/>
      <c r="Q60" s="122"/>
      <c r="R60" s="135"/>
      <c r="S60" s="124"/>
      <c r="T60" s="125"/>
      <c r="U60" s="134" t="e">
        <f>G60-'[2]ДЦП Благоуст. (29.01.13 с изм.)'!$S$27</f>
        <v>#REF!</v>
      </c>
    </row>
    <row r="61" spans="1:20" ht="30" outlineLevel="1">
      <c r="A61" s="117" t="s">
        <v>59</v>
      </c>
      <c r="B61" s="118" t="s">
        <v>176</v>
      </c>
      <c r="C61" s="119">
        <f>C62+C63+C64</f>
        <v>2884.6</v>
      </c>
      <c r="D61" s="119">
        <f>D62+D63+D64</f>
        <v>2999.5</v>
      </c>
      <c r="E61" s="120" t="s">
        <v>30</v>
      </c>
      <c r="F61" s="121">
        <f aca="true" t="shared" si="16" ref="F61:L61">F62+F63+F64</f>
        <v>5000</v>
      </c>
      <c r="G61" s="121">
        <f t="shared" si="16"/>
        <v>6146.5</v>
      </c>
      <c r="H61" s="121">
        <f t="shared" si="16"/>
        <v>6100</v>
      </c>
      <c r="I61" s="121">
        <f t="shared" si="16"/>
        <v>5999</v>
      </c>
      <c r="J61" s="121">
        <f t="shared" si="16"/>
        <v>2999</v>
      </c>
      <c r="K61" s="121">
        <f t="shared" si="16"/>
        <v>3000</v>
      </c>
      <c r="L61" s="121">
        <f t="shared" si="16"/>
        <v>0</v>
      </c>
      <c r="M61" s="121"/>
      <c r="N61" s="121"/>
      <c r="O61" s="104"/>
      <c r="P61" s="300"/>
      <c r="Q61" s="122" t="s">
        <v>49</v>
      </c>
      <c r="R61" s="123">
        <f>31.8+162.5</f>
        <v>194.3</v>
      </c>
      <c r="S61" s="124"/>
      <c r="T61" s="125" t="str">
        <f>'[1]ДЦП Благоуст. (29.01.13 с изм.)'!E53</f>
        <v>2013-2015 годы</v>
      </c>
    </row>
    <row r="62" spans="1:20" ht="15" outlineLevel="1">
      <c r="A62" s="126"/>
      <c r="B62" s="127"/>
      <c r="C62" s="128">
        <v>2884.6</v>
      </c>
      <c r="D62" s="128">
        <f>2999.5</f>
        <v>2999.5</v>
      </c>
      <c r="E62" s="129" t="s">
        <v>32</v>
      </c>
      <c r="F62" s="130">
        <v>2000</v>
      </c>
      <c r="G62" s="130">
        <v>3146.5</v>
      </c>
      <c r="H62" s="130">
        <v>3100</v>
      </c>
      <c r="I62" s="130">
        <v>2999</v>
      </c>
      <c r="J62" s="130">
        <v>2999</v>
      </c>
      <c r="K62" s="130"/>
      <c r="L62" s="131"/>
      <c r="M62" s="131"/>
      <c r="N62" s="131"/>
      <c r="O62" s="104"/>
      <c r="P62" s="300"/>
      <c r="Q62" s="122"/>
      <c r="R62" s="123"/>
      <c r="S62" s="124"/>
      <c r="T62" s="125"/>
    </row>
    <row r="63" spans="1:20" ht="15" outlineLevel="1">
      <c r="A63" s="126"/>
      <c r="B63" s="127"/>
      <c r="C63" s="132"/>
      <c r="D63" s="132"/>
      <c r="E63" s="133" t="s">
        <v>33</v>
      </c>
      <c r="F63" s="131">
        <v>1500</v>
      </c>
      <c r="G63" s="131">
        <v>1500</v>
      </c>
      <c r="H63" s="131">
        <v>1500</v>
      </c>
      <c r="I63" s="131">
        <v>1500</v>
      </c>
      <c r="J63" s="131"/>
      <c r="K63" s="131">
        <f>I63-J63</f>
        <v>1500</v>
      </c>
      <c r="L63" s="131"/>
      <c r="M63" s="131"/>
      <c r="N63" s="131"/>
      <c r="O63" s="104"/>
      <c r="P63" s="300"/>
      <c r="Q63" s="122"/>
      <c r="R63" s="123"/>
      <c r="S63" s="124"/>
      <c r="T63" s="125"/>
    </row>
    <row r="64" spans="1:21" ht="15" outlineLevel="1">
      <c r="A64" s="126"/>
      <c r="B64" s="127"/>
      <c r="C64" s="132"/>
      <c r="D64" s="132"/>
      <c r="E64" s="133" t="s">
        <v>34</v>
      </c>
      <c r="F64" s="131">
        <v>1500</v>
      </c>
      <c r="G64" s="131">
        <v>1500</v>
      </c>
      <c r="H64" s="131">
        <v>1500</v>
      </c>
      <c r="I64" s="131">
        <v>1500</v>
      </c>
      <c r="J64" s="131"/>
      <c r="K64" s="131">
        <f>I64-J64</f>
        <v>1500</v>
      </c>
      <c r="L64" s="131"/>
      <c r="M64" s="131"/>
      <c r="N64" s="131"/>
      <c r="O64" s="104"/>
      <c r="P64" s="300"/>
      <c r="Q64" s="122"/>
      <c r="R64" s="123"/>
      <c r="S64" s="124"/>
      <c r="T64" s="125"/>
      <c r="U64" s="134" t="e">
        <f>G64-'[2]ДЦП Благоуст. (29.01.13 с изм.)'!$S$28</f>
        <v>#REF!</v>
      </c>
    </row>
    <row r="65" spans="1:20" ht="15" hidden="1" outlineLevel="1">
      <c r="A65" s="117" t="s">
        <v>60</v>
      </c>
      <c r="B65" s="118" t="s">
        <v>177</v>
      </c>
      <c r="C65" s="119">
        <f>C66+C67+C68</f>
        <v>83.4</v>
      </c>
      <c r="D65" s="119">
        <f>D66+D67+D68</f>
        <v>400</v>
      </c>
      <c r="E65" s="120" t="s">
        <v>30</v>
      </c>
      <c r="F65" s="121">
        <f aca="true" t="shared" si="17" ref="F65:L65">F66+F67+F68</f>
        <v>900</v>
      </c>
      <c r="G65" s="121">
        <f t="shared" si="17"/>
        <v>1000</v>
      </c>
      <c r="H65" s="121">
        <f t="shared" si="17"/>
        <v>1000</v>
      </c>
      <c r="I65" s="121">
        <f t="shared" si="17"/>
        <v>0</v>
      </c>
      <c r="J65" s="121">
        <f t="shared" si="17"/>
        <v>0</v>
      </c>
      <c r="K65" s="121">
        <f t="shared" si="17"/>
        <v>0</v>
      </c>
      <c r="L65" s="121">
        <f t="shared" si="17"/>
        <v>0</v>
      </c>
      <c r="M65" s="121"/>
      <c r="N65" s="121"/>
      <c r="O65" s="104"/>
      <c r="P65" s="300"/>
      <c r="Q65" s="122" t="s">
        <v>61</v>
      </c>
      <c r="R65" s="135">
        <f>SUM(R66:R68)</f>
        <v>450</v>
      </c>
      <c r="S65" s="124"/>
      <c r="T65" s="125" t="e">
        <f>'[1]ДЦП Благоуст. (29.01.13 с изм.)'!#REF!</f>
        <v>#REF!</v>
      </c>
    </row>
    <row r="66" spans="1:20" ht="15" hidden="1" outlineLevel="1">
      <c r="A66" s="137"/>
      <c r="B66" s="127"/>
      <c r="C66" s="128">
        <f>83.4</f>
        <v>83.4</v>
      </c>
      <c r="D66" s="128">
        <f>100+100+100+100</f>
        <v>400</v>
      </c>
      <c r="E66" s="129" t="s">
        <v>32</v>
      </c>
      <c r="F66" s="130">
        <v>300</v>
      </c>
      <c r="G66" s="130">
        <v>400</v>
      </c>
      <c r="H66" s="130">
        <v>400</v>
      </c>
      <c r="I66" s="130"/>
      <c r="J66" s="130"/>
      <c r="K66" s="130"/>
      <c r="L66" s="131"/>
      <c r="M66" s="131"/>
      <c r="N66" s="131"/>
      <c r="O66" s="104"/>
      <c r="P66" s="300"/>
      <c r="Q66" s="138" t="s">
        <v>61</v>
      </c>
      <c r="R66" s="139">
        <v>150</v>
      </c>
      <c r="S66" s="124"/>
      <c r="T66" s="125"/>
    </row>
    <row r="67" spans="1:20" ht="15" hidden="1" outlineLevel="1">
      <c r="A67" s="137"/>
      <c r="B67" s="127"/>
      <c r="C67" s="132"/>
      <c r="D67" s="132"/>
      <c r="E67" s="133" t="s">
        <v>33</v>
      </c>
      <c r="F67" s="131">
        <v>300</v>
      </c>
      <c r="G67" s="131">
        <v>300</v>
      </c>
      <c r="H67" s="131">
        <v>300</v>
      </c>
      <c r="I67" s="131"/>
      <c r="J67" s="131"/>
      <c r="K67" s="131">
        <f>I67-J67</f>
        <v>0</v>
      </c>
      <c r="L67" s="131"/>
      <c r="M67" s="131"/>
      <c r="N67" s="131"/>
      <c r="O67" s="104"/>
      <c r="P67" s="300"/>
      <c r="Q67" s="138" t="s">
        <v>61</v>
      </c>
      <c r="R67" s="139">
        <v>150</v>
      </c>
      <c r="S67" s="124"/>
      <c r="T67" s="125"/>
    </row>
    <row r="68" spans="1:21" ht="15" hidden="1" outlineLevel="1">
      <c r="A68" s="137"/>
      <c r="B68" s="127"/>
      <c r="C68" s="132"/>
      <c r="D68" s="132"/>
      <c r="E68" s="133" t="s">
        <v>34</v>
      </c>
      <c r="F68" s="131">
        <v>300</v>
      </c>
      <c r="G68" s="131">
        <v>300</v>
      </c>
      <c r="H68" s="131">
        <v>300</v>
      </c>
      <c r="I68" s="131"/>
      <c r="J68" s="131"/>
      <c r="K68" s="131">
        <f>I68-J68</f>
        <v>0</v>
      </c>
      <c r="L68" s="131"/>
      <c r="M68" s="131"/>
      <c r="N68" s="131"/>
      <c r="O68" s="104"/>
      <c r="P68" s="300"/>
      <c r="Q68" s="138" t="s">
        <v>61</v>
      </c>
      <c r="R68" s="139">
        <v>150</v>
      </c>
      <c r="S68" s="124"/>
      <c r="T68" s="125"/>
      <c r="U68" s="134">
        <f>G68</f>
        <v>300</v>
      </c>
    </row>
    <row r="69" spans="1:20" s="150" customFormat="1" ht="14.25" hidden="1">
      <c r="A69" s="140" t="s">
        <v>62</v>
      </c>
      <c r="B69" s="141" t="s">
        <v>63</v>
      </c>
      <c r="C69" s="142">
        <f>SUM(C70:C74)</f>
        <v>0</v>
      </c>
      <c r="D69" s="142">
        <f>SUM(D70:D74)</f>
        <v>0</v>
      </c>
      <c r="E69" s="143" t="s">
        <v>32</v>
      </c>
      <c r="F69" s="144">
        <f>SUM(F70:F73)</f>
        <v>32849</v>
      </c>
      <c r="G69" s="144">
        <f aca="true" t="shared" si="18" ref="G69:N69">SUM(G70:G74)</f>
        <v>99640.58716999998</v>
      </c>
      <c r="H69" s="144">
        <f t="shared" si="18"/>
        <v>66541.30717</v>
      </c>
      <c r="I69" s="144"/>
      <c r="J69" s="144">
        <f>SUM(J70:J74)</f>
        <v>0</v>
      </c>
      <c r="K69" s="144"/>
      <c r="L69" s="144">
        <v>0</v>
      </c>
      <c r="M69" s="145">
        <f t="shared" si="18"/>
        <v>0</v>
      </c>
      <c r="N69" s="145">
        <f t="shared" si="18"/>
        <v>0</v>
      </c>
      <c r="O69" s="104"/>
      <c r="P69" s="300"/>
      <c r="Q69" s="146"/>
      <c r="R69" s="147"/>
      <c r="S69" s="148"/>
      <c r="T69" s="149" t="str">
        <f>'[1]ДЦП Благоуст. (29.01.13 с изм.)'!E25</f>
        <v>2013-2015 годы</v>
      </c>
    </row>
    <row r="70" spans="1:20" s="99" customFormat="1" ht="15" hidden="1">
      <c r="A70" s="151"/>
      <c r="B70" s="152" t="s">
        <v>64</v>
      </c>
      <c r="C70" s="153"/>
      <c r="D70" s="153"/>
      <c r="E70" s="154"/>
      <c r="F70" s="155">
        <f>10000+6000+6000+5000</f>
        <v>27000</v>
      </c>
      <c r="G70" s="155">
        <v>67868.16</v>
      </c>
      <c r="H70" s="155">
        <v>41324.3</v>
      </c>
      <c r="I70" s="155"/>
      <c r="J70" s="155"/>
      <c r="K70" s="155"/>
      <c r="L70" s="156"/>
      <c r="M70" s="157"/>
      <c r="N70" s="157"/>
      <c r="O70" s="104"/>
      <c r="P70" s="300"/>
      <c r="Q70" s="158"/>
      <c r="R70" s="159"/>
      <c r="S70" s="160"/>
      <c r="T70" s="161" t="str">
        <f>'[1]ДЦП Благоуст. (29.01.13 с изм.)'!E26</f>
        <v>2013 год</v>
      </c>
    </row>
    <row r="71" spans="1:20" s="99" customFormat="1" ht="15" hidden="1" outlineLevel="1">
      <c r="A71" s="162"/>
      <c r="B71" s="163" t="s">
        <v>65</v>
      </c>
      <c r="C71" s="164"/>
      <c r="D71" s="164"/>
      <c r="E71" s="165"/>
      <c r="F71" s="166">
        <v>2500</v>
      </c>
      <c r="G71" s="166">
        <v>14901.4</v>
      </c>
      <c r="H71" s="166">
        <v>14901.4</v>
      </c>
      <c r="I71" s="166"/>
      <c r="J71" s="166"/>
      <c r="K71" s="166"/>
      <c r="L71" s="167"/>
      <c r="M71" s="168"/>
      <c r="N71" s="168"/>
      <c r="O71" s="104"/>
      <c r="P71" s="300"/>
      <c r="Q71" s="169"/>
      <c r="R71" s="170"/>
      <c r="S71" s="160"/>
      <c r="T71" s="161" t="str">
        <f>'[1]ДЦП Благоуст. (29.01.13 с изм.)'!E27</f>
        <v>2014 год</v>
      </c>
    </row>
    <row r="72" spans="1:20" s="99" customFormat="1" ht="15" customHeight="1" hidden="1" outlineLevel="1">
      <c r="A72" s="162"/>
      <c r="B72" s="163" t="s">
        <v>66</v>
      </c>
      <c r="C72" s="164"/>
      <c r="D72" s="164"/>
      <c r="E72" s="165"/>
      <c r="F72" s="166">
        <f>L72+I72</f>
        <v>0</v>
      </c>
      <c r="G72" s="166">
        <v>4929.70717</v>
      </c>
      <c r="H72" s="166">
        <f>4929.70717-2855.4</f>
        <v>2074.3071699999996</v>
      </c>
      <c r="I72" s="166"/>
      <c r="J72" s="166"/>
      <c r="K72" s="166"/>
      <c r="L72" s="167"/>
      <c r="M72" s="168"/>
      <c r="N72" s="168"/>
      <c r="O72" s="104"/>
      <c r="P72" s="300"/>
      <c r="Q72" s="169"/>
      <c r="R72" s="170"/>
      <c r="S72" s="160"/>
      <c r="T72" s="161" t="str">
        <f>'[1]ДЦП Благоуст. (29.01.13 с изм.)'!E25</f>
        <v>2013-2015 годы</v>
      </c>
    </row>
    <row r="73" spans="1:20" s="99" customFormat="1" ht="15" hidden="1" outlineLevel="1">
      <c r="A73" s="162"/>
      <c r="B73" s="163" t="s">
        <v>67</v>
      </c>
      <c r="C73" s="164"/>
      <c r="D73" s="164"/>
      <c r="E73" s="165"/>
      <c r="F73" s="166">
        <v>3349</v>
      </c>
      <c r="G73" s="166">
        <v>11941.32</v>
      </c>
      <c r="H73" s="166">
        <v>8241.3</v>
      </c>
      <c r="I73" s="166"/>
      <c r="J73" s="166"/>
      <c r="K73" s="166"/>
      <c r="L73" s="167"/>
      <c r="M73" s="168"/>
      <c r="N73" s="168"/>
      <c r="O73" s="104"/>
      <c r="P73" s="300"/>
      <c r="Q73" s="169"/>
      <c r="R73" s="170"/>
      <c r="S73" s="160"/>
      <c r="T73" s="161" t="str">
        <f>'[1]ДЦП Благоуст. (29.01.13 с изм.)'!E63</f>
        <v>2014 год</v>
      </c>
    </row>
    <row r="74" spans="1:20" s="99" customFormat="1" ht="15" customHeight="1" hidden="1" outlineLevel="1">
      <c r="A74" s="171"/>
      <c r="B74" s="172" t="s">
        <v>68</v>
      </c>
      <c r="C74" s="173"/>
      <c r="D74" s="173"/>
      <c r="E74" s="174"/>
      <c r="F74" s="175">
        <f>L74+I74</f>
        <v>0</v>
      </c>
      <c r="G74" s="175"/>
      <c r="H74" s="175"/>
      <c r="I74" s="175"/>
      <c r="J74" s="175"/>
      <c r="K74" s="175"/>
      <c r="L74" s="175">
        <v>0</v>
      </c>
      <c r="M74" s="176"/>
      <c r="N74" s="176"/>
      <c r="O74" s="104"/>
      <c r="P74" s="301"/>
      <c r="Q74" s="177"/>
      <c r="R74" s="178"/>
      <c r="S74" s="160"/>
      <c r="T74" s="161" t="str">
        <f>'[1]ДЦП Благоуст. (29.01.13 с изм.)'!E67</f>
        <v>2014 год</v>
      </c>
    </row>
    <row r="75" spans="1:20" s="109" customFormat="1" ht="28.5" customHeight="1" collapsed="1">
      <c r="A75" s="100">
        <v>2</v>
      </c>
      <c r="B75" s="101" t="s">
        <v>69</v>
      </c>
      <c r="C75" s="102">
        <f>C76+C77+C78</f>
        <v>0</v>
      </c>
      <c r="D75" s="102">
        <f>D76+D77+D78</f>
        <v>18923.100000000002</v>
      </c>
      <c r="E75" s="103" t="s">
        <v>30</v>
      </c>
      <c r="F75" s="102">
        <f aca="true" t="shared" si="19" ref="F75:L75">F76+F77+F78</f>
        <v>37760</v>
      </c>
      <c r="G75" s="102">
        <f t="shared" si="19"/>
        <v>60028.1212964</v>
      </c>
      <c r="H75" s="102">
        <f t="shared" si="19"/>
        <v>50919.1212964</v>
      </c>
      <c r="I75" s="102">
        <f t="shared" si="19"/>
        <v>43177</v>
      </c>
      <c r="J75" s="102">
        <f t="shared" si="19"/>
        <v>9207</v>
      </c>
      <c r="K75" s="102">
        <f>K76+K77+K78</f>
        <v>33970</v>
      </c>
      <c r="L75" s="102">
        <f t="shared" si="19"/>
        <v>0</v>
      </c>
      <c r="M75" s="102"/>
      <c r="N75" s="102"/>
      <c r="O75" s="104"/>
      <c r="P75" s="299" t="s">
        <v>70</v>
      </c>
      <c r="Q75" s="105"/>
      <c r="R75" s="106"/>
      <c r="S75" s="179"/>
      <c r="T75" s="180" t="e">
        <f>SUM(T79:T108)</f>
        <v>#REF!</v>
      </c>
    </row>
    <row r="76" spans="1:20" s="99" customFormat="1" ht="15">
      <c r="A76" s="181"/>
      <c r="B76" s="111"/>
      <c r="C76" s="112">
        <f>C80+C84+C88+C92+C96+C100+C103</f>
        <v>0</v>
      </c>
      <c r="D76" s="112">
        <f>D80+D84+D88+D92+D96+D100+D103</f>
        <v>18923.100000000002</v>
      </c>
      <c r="E76" s="113" t="s">
        <v>32</v>
      </c>
      <c r="F76" s="112">
        <f>F80+F84+F88+F92+F96+F100</f>
        <v>13520</v>
      </c>
      <c r="G76" s="112">
        <f>G80+G84+G88+G92+G96+G100+G103</f>
        <v>30312.1212964</v>
      </c>
      <c r="H76" s="112">
        <f>H80+H84+H88+H92+H96+H100+H103</f>
        <v>26652.1212964</v>
      </c>
      <c r="I76" s="112">
        <f>I80+I84+I88+I92+I96+I100</f>
        <v>18937</v>
      </c>
      <c r="J76" s="112">
        <f>J80+J84+J88+J92+J96+J100+J103</f>
        <v>9207</v>
      </c>
      <c r="K76" s="112">
        <f>K80+K84+K88+K92+K96+K100+K103</f>
        <v>9730</v>
      </c>
      <c r="L76" s="112">
        <f>L80+L84+L88+L92+L96+L100+L103</f>
        <v>0</v>
      </c>
      <c r="M76" s="112">
        <f>M80+M84+M88+M92+M96+M100+M103</f>
        <v>0</v>
      </c>
      <c r="N76" s="112">
        <f>N80+N84+N88+N92+N96+N100+N103</f>
        <v>0</v>
      </c>
      <c r="O76" s="104"/>
      <c r="P76" s="300"/>
      <c r="Q76" s="95"/>
      <c r="R76" s="96"/>
      <c r="S76" s="182"/>
      <c r="T76" s="183"/>
    </row>
    <row r="77" spans="1:20" s="99" customFormat="1" ht="15">
      <c r="A77" s="181"/>
      <c r="B77" s="111"/>
      <c r="C77" s="112">
        <f>C81+C85+C89+C93+C97+C101</f>
        <v>0</v>
      </c>
      <c r="D77" s="112">
        <f>D81+D85+D89+D93+D97+D101</f>
        <v>0</v>
      </c>
      <c r="E77" s="113" t="s">
        <v>33</v>
      </c>
      <c r="F77" s="112">
        <f aca="true" t="shared" si="20" ref="F77:L78">F81+F85+F89+F93+F97+F101</f>
        <v>11770</v>
      </c>
      <c r="G77" s="112">
        <f t="shared" si="20"/>
        <v>11770</v>
      </c>
      <c r="H77" s="112">
        <f t="shared" si="20"/>
        <v>11783.5</v>
      </c>
      <c r="I77" s="112">
        <f t="shared" si="20"/>
        <v>11770</v>
      </c>
      <c r="J77" s="112">
        <f t="shared" si="20"/>
        <v>0</v>
      </c>
      <c r="K77" s="112">
        <f t="shared" si="20"/>
        <v>11770</v>
      </c>
      <c r="L77" s="112">
        <f t="shared" si="20"/>
        <v>0</v>
      </c>
      <c r="M77" s="112"/>
      <c r="N77" s="112"/>
      <c r="O77" s="104"/>
      <c r="P77" s="300"/>
      <c r="Q77" s="95"/>
      <c r="R77" s="96"/>
      <c r="S77" s="182"/>
      <c r="T77" s="183"/>
    </row>
    <row r="78" spans="1:21" s="99" customFormat="1" ht="15">
      <c r="A78" s="181"/>
      <c r="B78" s="111"/>
      <c r="C78" s="112">
        <f>C82+C86+C90+C94+C98+C102</f>
        <v>0</v>
      </c>
      <c r="D78" s="112">
        <f>D82+D86+D90+D94+D98+D102</f>
        <v>0</v>
      </c>
      <c r="E78" s="113" t="s">
        <v>34</v>
      </c>
      <c r="F78" s="112">
        <f t="shared" si="20"/>
        <v>12470</v>
      </c>
      <c r="G78" s="112">
        <f t="shared" si="20"/>
        <v>17946</v>
      </c>
      <c r="H78" s="112">
        <f t="shared" si="20"/>
        <v>12483.5</v>
      </c>
      <c r="I78" s="112">
        <f t="shared" si="20"/>
        <v>12470</v>
      </c>
      <c r="J78" s="112">
        <f t="shared" si="20"/>
        <v>0</v>
      </c>
      <c r="K78" s="112">
        <f t="shared" si="20"/>
        <v>12470</v>
      </c>
      <c r="L78" s="112">
        <f t="shared" si="20"/>
        <v>0</v>
      </c>
      <c r="M78" s="112"/>
      <c r="N78" s="112"/>
      <c r="O78" s="104"/>
      <c r="P78" s="300"/>
      <c r="Q78" s="95"/>
      <c r="R78" s="96"/>
      <c r="S78" s="182"/>
      <c r="T78" s="183"/>
      <c r="U78" s="116" t="e">
        <f>G78-'[2]ДЦП Благоуст. (29.01.13 с изм.)'!$S$34</f>
        <v>#REF!</v>
      </c>
    </row>
    <row r="79" spans="1:20" ht="15" outlineLevel="1">
      <c r="A79" s="117" t="s">
        <v>71</v>
      </c>
      <c r="B79" s="118" t="s">
        <v>72</v>
      </c>
      <c r="C79" s="119">
        <f>C80+C81+C82</f>
        <v>0</v>
      </c>
      <c r="D79" s="119">
        <f>D80+D81+D82</f>
        <v>6973.4</v>
      </c>
      <c r="E79" s="120" t="s">
        <v>30</v>
      </c>
      <c r="F79" s="121">
        <f>L79+I79</f>
        <v>22800</v>
      </c>
      <c r="G79" s="121">
        <f aca="true" t="shared" si="21" ref="G79:L79">G80+G81+G82</f>
        <v>22816.863</v>
      </c>
      <c r="H79" s="121">
        <f t="shared" si="21"/>
        <v>22816.863</v>
      </c>
      <c r="I79" s="121">
        <f t="shared" si="21"/>
        <v>22800</v>
      </c>
      <c r="J79" s="121">
        <f t="shared" si="21"/>
        <v>1520</v>
      </c>
      <c r="K79" s="121">
        <f t="shared" si="21"/>
        <v>21280</v>
      </c>
      <c r="L79" s="121">
        <f t="shared" si="21"/>
        <v>0</v>
      </c>
      <c r="M79" s="121"/>
      <c r="N79" s="121"/>
      <c r="O79" s="104"/>
      <c r="P79" s="300"/>
      <c r="Q79" s="138"/>
      <c r="R79" s="139"/>
      <c r="S79" s="124"/>
      <c r="T79" s="125" t="str">
        <f>'[1]ДЦП Благоуст. (29.01.13 с изм.)'!E96</f>
        <v>2013 год</v>
      </c>
    </row>
    <row r="80" spans="1:20" ht="15" outlineLevel="1">
      <c r="A80" s="137"/>
      <c r="B80" s="127"/>
      <c r="C80" s="128"/>
      <c r="D80" s="128">
        <v>6973.4</v>
      </c>
      <c r="E80" s="129" t="s">
        <v>32</v>
      </c>
      <c r="F80" s="130">
        <f>6900+700</f>
        <v>7600</v>
      </c>
      <c r="G80" s="130">
        <v>7616.863</v>
      </c>
      <c r="H80" s="130">
        <v>7616.863</v>
      </c>
      <c r="I80" s="130">
        <f>7600</f>
        <v>7600</v>
      </c>
      <c r="J80" s="130">
        <v>1520</v>
      </c>
      <c r="K80" s="130">
        <f>I80-J80</f>
        <v>6080</v>
      </c>
      <c r="L80" s="131"/>
      <c r="M80" s="131"/>
      <c r="N80" s="131"/>
      <c r="O80" s="104"/>
      <c r="P80" s="300"/>
      <c r="Q80" s="138"/>
      <c r="R80" s="139"/>
      <c r="S80" s="124"/>
      <c r="T80" s="125"/>
    </row>
    <row r="81" spans="1:20" ht="15" outlineLevel="1">
      <c r="A81" s="137"/>
      <c r="B81" s="127"/>
      <c r="C81" s="132"/>
      <c r="D81" s="132"/>
      <c r="E81" s="133" t="s">
        <v>33</v>
      </c>
      <c r="F81" s="131">
        <v>7600</v>
      </c>
      <c r="G81" s="131">
        <v>7600</v>
      </c>
      <c r="H81" s="131">
        <v>7600</v>
      </c>
      <c r="I81" s="131">
        <v>7600</v>
      </c>
      <c r="J81" s="131"/>
      <c r="K81" s="131">
        <f>I81-J81</f>
        <v>7600</v>
      </c>
      <c r="L81" s="131"/>
      <c r="M81" s="131"/>
      <c r="N81" s="131"/>
      <c r="O81" s="104"/>
      <c r="P81" s="300"/>
      <c r="Q81" s="138"/>
      <c r="R81" s="139"/>
      <c r="S81" s="124"/>
      <c r="T81" s="125"/>
    </row>
    <row r="82" spans="1:20" ht="15" outlineLevel="1">
      <c r="A82" s="137"/>
      <c r="B82" s="127"/>
      <c r="C82" s="132"/>
      <c r="D82" s="132"/>
      <c r="E82" s="133" t="s">
        <v>34</v>
      </c>
      <c r="F82" s="131">
        <v>7600</v>
      </c>
      <c r="G82" s="131">
        <v>7600</v>
      </c>
      <c r="H82" s="131">
        <v>7600</v>
      </c>
      <c r="I82" s="131">
        <v>7600</v>
      </c>
      <c r="J82" s="131"/>
      <c r="K82" s="131">
        <f>I82-J82</f>
        <v>7600</v>
      </c>
      <c r="L82" s="131"/>
      <c r="M82" s="131"/>
      <c r="N82" s="131"/>
      <c r="O82" s="104"/>
      <c r="P82" s="300"/>
      <c r="Q82" s="138"/>
      <c r="R82" s="139"/>
      <c r="S82" s="124"/>
      <c r="T82" s="125"/>
    </row>
    <row r="83" spans="1:20" ht="30" outlineLevel="1">
      <c r="A83" s="117" t="s">
        <v>73</v>
      </c>
      <c r="B83" s="118" t="s">
        <v>74</v>
      </c>
      <c r="C83" s="119">
        <f>C84+C85+C86</f>
        <v>0</v>
      </c>
      <c r="D83" s="119">
        <f>D84+D85+D86</f>
        <v>0</v>
      </c>
      <c r="E83" s="120" t="s">
        <v>30</v>
      </c>
      <c r="F83" s="121">
        <f aca="true" t="shared" si="22" ref="F83:L83">F84+F85+F86</f>
        <v>2160</v>
      </c>
      <c r="G83" s="121">
        <f t="shared" si="22"/>
        <v>2160.4082964</v>
      </c>
      <c r="H83" s="121">
        <f t="shared" si="22"/>
        <v>2160.4082964</v>
      </c>
      <c r="I83" s="121">
        <f t="shared" si="22"/>
        <v>1700</v>
      </c>
      <c r="J83" s="121">
        <f t="shared" si="22"/>
        <v>0</v>
      </c>
      <c r="K83" s="121">
        <f t="shared" si="22"/>
        <v>1700</v>
      </c>
      <c r="L83" s="121">
        <f t="shared" si="22"/>
        <v>0</v>
      </c>
      <c r="M83" s="121"/>
      <c r="N83" s="121"/>
      <c r="O83" s="104"/>
      <c r="P83" s="300"/>
      <c r="Q83" s="138"/>
      <c r="R83" s="139"/>
      <c r="S83" s="124"/>
      <c r="T83" s="125" t="str">
        <f>'[1]ДЦП Благоуст. (29.01.13 с изм.)'!E97</f>
        <v>2014 год</v>
      </c>
    </row>
    <row r="84" spans="1:20" ht="15" outlineLevel="1">
      <c r="A84" s="137"/>
      <c r="B84" s="127"/>
      <c r="C84" s="128"/>
      <c r="D84" s="128"/>
      <c r="E84" s="129" t="s">
        <v>32</v>
      </c>
      <c r="F84" s="130">
        <v>720</v>
      </c>
      <c r="G84" s="130">
        <v>720.4082964</v>
      </c>
      <c r="H84" s="130">
        <v>720.4082964</v>
      </c>
      <c r="I84" s="130">
        <f>720-460</f>
        <v>260</v>
      </c>
      <c r="J84" s="130"/>
      <c r="K84" s="130">
        <f>I84-J84</f>
        <v>260</v>
      </c>
      <c r="L84" s="131"/>
      <c r="M84" s="131"/>
      <c r="N84" s="131"/>
      <c r="O84" s="104"/>
      <c r="P84" s="300"/>
      <c r="Q84" s="138"/>
      <c r="R84" s="139"/>
      <c r="S84" s="124"/>
      <c r="T84" s="125"/>
    </row>
    <row r="85" spans="1:20" ht="15" outlineLevel="1">
      <c r="A85" s="137"/>
      <c r="B85" s="127"/>
      <c r="C85" s="132"/>
      <c r="D85" s="132"/>
      <c r="E85" s="133" t="s">
        <v>33</v>
      </c>
      <c r="F85" s="131">
        <v>720</v>
      </c>
      <c r="G85" s="131">
        <v>720</v>
      </c>
      <c r="H85" s="131">
        <v>720</v>
      </c>
      <c r="I85" s="131">
        <v>720</v>
      </c>
      <c r="J85" s="131"/>
      <c r="K85" s="131">
        <f>I85-J85</f>
        <v>720</v>
      </c>
      <c r="L85" s="131"/>
      <c r="M85" s="131"/>
      <c r="N85" s="131"/>
      <c r="O85" s="104"/>
      <c r="P85" s="300"/>
      <c r="Q85" s="138"/>
      <c r="R85" s="139"/>
      <c r="S85" s="124"/>
      <c r="T85" s="125"/>
    </row>
    <row r="86" spans="1:20" ht="15" outlineLevel="1">
      <c r="A86" s="137"/>
      <c r="B86" s="127"/>
      <c r="C86" s="132"/>
      <c r="D86" s="132"/>
      <c r="E86" s="133" t="s">
        <v>34</v>
      </c>
      <c r="F86" s="131">
        <v>720</v>
      </c>
      <c r="G86" s="131">
        <v>720</v>
      </c>
      <c r="H86" s="131">
        <v>720</v>
      </c>
      <c r="I86" s="131">
        <v>720</v>
      </c>
      <c r="J86" s="131"/>
      <c r="K86" s="131">
        <f>I86-J86</f>
        <v>720</v>
      </c>
      <c r="L86" s="131"/>
      <c r="M86" s="131"/>
      <c r="N86" s="131"/>
      <c r="O86" s="104"/>
      <c r="P86" s="300"/>
      <c r="Q86" s="138"/>
      <c r="R86" s="139"/>
      <c r="S86" s="124"/>
      <c r="T86" s="125"/>
    </row>
    <row r="87" spans="1:20" ht="30" outlineLevel="1">
      <c r="A87" s="117" t="s">
        <v>75</v>
      </c>
      <c r="B87" s="118" t="s">
        <v>76</v>
      </c>
      <c r="C87" s="119">
        <f>C88+C89+C90</f>
        <v>0</v>
      </c>
      <c r="D87" s="119">
        <f>D88+D89+D90</f>
        <v>2902</v>
      </c>
      <c r="E87" s="120" t="s">
        <v>30</v>
      </c>
      <c r="F87" s="121">
        <f aca="true" t="shared" si="23" ref="F87:L87">F88+F89+F90</f>
        <v>9600</v>
      </c>
      <c r="G87" s="121">
        <f t="shared" si="23"/>
        <v>9700</v>
      </c>
      <c r="H87" s="121">
        <f t="shared" si="23"/>
        <v>9700</v>
      </c>
      <c r="I87" s="121">
        <f t="shared" si="23"/>
        <v>12630</v>
      </c>
      <c r="J87" s="121">
        <f t="shared" si="23"/>
        <v>2840</v>
      </c>
      <c r="K87" s="121">
        <f t="shared" si="23"/>
        <v>9790</v>
      </c>
      <c r="L87" s="121">
        <f t="shared" si="23"/>
        <v>0</v>
      </c>
      <c r="M87" s="121"/>
      <c r="N87" s="121"/>
      <c r="O87" s="104"/>
      <c r="P87" s="300"/>
      <c r="Q87" s="122" t="s">
        <v>58</v>
      </c>
      <c r="R87" s="135">
        <f>R90</f>
        <v>213247</v>
      </c>
      <c r="S87" s="124"/>
      <c r="T87" s="125" t="str">
        <f>'[1]ДЦП Благоуст. (29.01.13 с изм.)'!E101</f>
        <v>2014 год</v>
      </c>
    </row>
    <row r="88" spans="1:20" ht="15" outlineLevel="1">
      <c r="A88" s="137"/>
      <c r="B88" s="127"/>
      <c r="C88" s="128"/>
      <c r="D88" s="128">
        <f>100+499+2300+3</f>
        <v>2902</v>
      </c>
      <c r="E88" s="129" t="s">
        <v>32</v>
      </c>
      <c r="F88" s="130">
        <v>3200</v>
      </c>
      <c r="G88" s="130">
        <v>3300</v>
      </c>
      <c r="H88" s="130">
        <v>3300</v>
      </c>
      <c r="I88" s="130">
        <f>3200+2730+300</f>
        <v>6230</v>
      </c>
      <c r="J88" s="130">
        <v>2840</v>
      </c>
      <c r="K88" s="130">
        <f>I88-J88</f>
        <v>3390</v>
      </c>
      <c r="L88" s="131"/>
      <c r="M88" s="131"/>
      <c r="N88" s="131"/>
      <c r="O88" s="104"/>
      <c r="P88" s="300"/>
      <c r="Q88" s="122"/>
      <c r="R88" s="139">
        <v>203677</v>
      </c>
      <c r="S88" s="124"/>
      <c r="T88" s="125"/>
    </row>
    <row r="89" spans="1:20" ht="15" outlineLevel="1">
      <c r="A89" s="137"/>
      <c r="B89" s="127"/>
      <c r="C89" s="132"/>
      <c r="D89" s="132"/>
      <c r="E89" s="133" t="s">
        <v>33</v>
      </c>
      <c r="F89" s="131">
        <v>3200</v>
      </c>
      <c r="G89" s="131">
        <v>3200</v>
      </c>
      <c r="H89" s="131">
        <v>3200</v>
      </c>
      <c r="I89" s="131">
        <v>3200</v>
      </c>
      <c r="J89" s="131"/>
      <c r="K89" s="131">
        <f>I89-J89</f>
        <v>3200</v>
      </c>
      <c r="L89" s="131"/>
      <c r="M89" s="131"/>
      <c r="N89" s="131"/>
      <c r="O89" s="104"/>
      <c r="P89" s="300"/>
      <c r="Q89" s="122"/>
      <c r="R89" s="139">
        <v>209385</v>
      </c>
      <c r="S89" s="124"/>
      <c r="T89" s="125"/>
    </row>
    <row r="90" spans="1:20" ht="15" outlineLevel="1">
      <c r="A90" s="137"/>
      <c r="B90" s="127"/>
      <c r="C90" s="132"/>
      <c r="D90" s="132"/>
      <c r="E90" s="133" t="s">
        <v>34</v>
      </c>
      <c r="F90" s="131">
        <v>3200</v>
      </c>
      <c r="G90" s="131">
        <v>3200</v>
      </c>
      <c r="H90" s="131">
        <v>3200</v>
      </c>
      <c r="I90" s="131">
        <v>3200</v>
      </c>
      <c r="J90" s="131"/>
      <c r="K90" s="131">
        <f>I90-J90</f>
        <v>3200</v>
      </c>
      <c r="L90" s="131"/>
      <c r="M90" s="131"/>
      <c r="N90" s="131"/>
      <c r="O90" s="104"/>
      <c r="P90" s="300"/>
      <c r="Q90" s="122"/>
      <c r="R90" s="139">
        <v>213247</v>
      </c>
      <c r="S90" s="124"/>
      <c r="T90" s="125"/>
    </row>
    <row r="91" spans="1:20" ht="15" outlineLevel="1">
      <c r="A91" s="117" t="s">
        <v>77</v>
      </c>
      <c r="B91" s="118" t="s">
        <v>78</v>
      </c>
      <c r="C91" s="119">
        <f>C92+C93+C94</f>
        <v>0</v>
      </c>
      <c r="D91" s="119">
        <f>D92+D93+D94</f>
        <v>350</v>
      </c>
      <c r="E91" s="120" t="s">
        <v>30</v>
      </c>
      <c r="F91" s="121">
        <f aca="true" t="shared" si="24" ref="F91:L91">F92+F93+F94</f>
        <v>800</v>
      </c>
      <c r="G91" s="121">
        <f t="shared" si="24"/>
        <v>1500</v>
      </c>
      <c r="H91" s="121">
        <f t="shared" si="24"/>
        <v>1500</v>
      </c>
      <c r="I91" s="121">
        <f t="shared" si="24"/>
        <v>1007</v>
      </c>
      <c r="J91" s="121">
        <f t="shared" si="24"/>
        <v>507</v>
      </c>
      <c r="K91" s="121">
        <f t="shared" si="24"/>
        <v>500</v>
      </c>
      <c r="L91" s="121">
        <f t="shared" si="24"/>
        <v>0</v>
      </c>
      <c r="M91" s="121"/>
      <c r="N91" s="121"/>
      <c r="O91" s="104"/>
      <c r="P91" s="300"/>
      <c r="Q91" s="184" t="s">
        <v>61</v>
      </c>
      <c r="R91" s="185">
        <f>R92+R93+R94</f>
        <v>300</v>
      </c>
      <c r="S91" s="186">
        <v>10000</v>
      </c>
      <c r="T91" s="125" t="e">
        <f>'[1]ДЦП Благоуст. (29.01.13 с изм.)'!E107</f>
        <v>#REF!</v>
      </c>
    </row>
    <row r="92" spans="1:20" ht="15" outlineLevel="1">
      <c r="A92" s="137"/>
      <c r="B92" s="127"/>
      <c r="C92" s="128"/>
      <c r="D92" s="128">
        <v>350</v>
      </c>
      <c r="E92" s="129" t="s">
        <v>32</v>
      </c>
      <c r="F92" s="130">
        <v>300</v>
      </c>
      <c r="G92" s="130">
        <v>1000</v>
      </c>
      <c r="H92" s="130">
        <v>1000</v>
      </c>
      <c r="I92" s="130">
        <f>807-300</f>
        <v>507</v>
      </c>
      <c r="J92" s="130">
        <v>507</v>
      </c>
      <c r="K92" s="130">
        <f>I92-J92</f>
        <v>0</v>
      </c>
      <c r="L92" s="131"/>
      <c r="M92" s="131"/>
      <c r="N92" s="131"/>
      <c r="O92" s="104"/>
      <c r="P92" s="300"/>
      <c r="Q92" s="184"/>
      <c r="R92" s="187">
        <v>100</v>
      </c>
      <c r="S92" s="186"/>
      <c r="T92" s="125"/>
    </row>
    <row r="93" spans="1:20" ht="15" outlineLevel="1">
      <c r="A93" s="137"/>
      <c r="B93" s="127"/>
      <c r="C93" s="132"/>
      <c r="D93" s="132"/>
      <c r="E93" s="133" t="s">
        <v>33</v>
      </c>
      <c r="F93" s="131">
        <v>250</v>
      </c>
      <c r="G93" s="131">
        <v>250</v>
      </c>
      <c r="H93" s="131">
        <v>250</v>
      </c>
      <c r="I93" s="131">
        <v>250</v>
      </c>
      <c r="J93" s="131"/>
      <c r="K93" s="131">
        <f>I93-J93</f>
        <v>250</v>
      </c>
      <c r="L93" s="131"/>
      <c r="M93" s="131"/>
      <c r="N93" s="131"/>
      <c r="O93" s="104"/>
      <c r="P93" s="300"/>
      <c r="Q93" s="184"/>
      <c r="R93" s="187">
        <v>100</v>
      </c>
      <c r="S93" s="186"/>
      <c r="T93" s="125"/>
    </row>
    <row r="94" spans="1:20" ht="15" outlineLevel="1">
      <c r="A94" s="188"/>
      <c r="B94" s="127"/>
      <c r="C94" s="132"/>
      <c r="D94" s="132"/>
      <c r="E94" s="133" t="s">
        <v>34</v>
      </c>
      <c r="F94" s="131">
        <v>250</v>
      </c>
      <c r="G94" s="131">
        <v>250</v>
      </c>
      <c r="H94" s="131">
        <v>250</v>
      </c>
      <c r="I94" s="131">
        <v>250</v>
      </c>
      <c r="J94" s="131"/>
      <c r="K94" s="131">
        <f>I94-J94</f>
        <v>250</v>
      </c>
      <c r="L94" s="131"/>
      <c r="M94" s="131"/>
      <c r="N94" s="131"/>
      <c r="O94" s="104"/>
      <c r="P94" s="300"/>
      <c r="Q94" s="138"/>
      <c r="R94" s="139">
        <v>100</v>
      </c>
      <c r="S94" s="124"/>
      <c r="T94" s="125"/>
    </row>
    <row r="95" spans="1:20" ht="15" outlineLevel="1">
      <c r="A95" s="117" t="s">
        <v>79</v>
      </c>
      <c r="B95" s="118" t="s">
        <v>80</v>
      </c>
      <c r="C95" s="119">
        <f>C96+C97+C98</f>
        <v>0</v>
      </c>
      <c r="D95" s="119">
        <f>D96+D97+D98</f>
        <v>6800</v>
      </c>
      <c r="E95" s="120" t="s">
        <v>30</v>
      </c>
      <c r="F95" s="121">
        <f aca="true" t="shared" si="25" ref="F95:L95">F96+F97+F98</f>
        <v>2400</v>
      </c>
      <c r="G95" s="121">
        <f t="shared" si="25"/>
        <v>5700</v>
      </c>
      <c r="H95" s="121">
        <f t="shared" si="25"/>
        <v>2811.1</v>
      </c>
      <c r="I95" s="121">
        <f t="shared" si="25"/>
        <v>5040</v>
      </c>
      <c r="J95" s="121">
        <f t="shared" si="25"/>
        <v>4340</v>
      </c>
      <c r="K95" s="121">
        <f t="shared" si="25"/>
        <v>700</v>
      </c>
      <c r="L95" s="121">
        <f t="shared" si="25"/>
        <v>0</v>
      </c>
      <c r="M95" s="121"/>
      <c r="N95" s="121"/>
      <c r="O95" s="104"/>
      <c r="P95" s="300"/>
      <c r="Q95" s="189" t="s">
        <v>58</v>
      </c>
      <c r="R95" s="185">
        <f>R96+R97+R98</f>
        <v>9570</v>
      </c>
      <c r="S95" s="124"/>
      <c r="T95" s="125" t="str">
        <f>'[1]ДЦП Благоуст. (29.01.13 с изм.)'!E116</f>
        <v>2015 год</v>
      </c>
    </row>
    <row r="96" spans="1:20" ht="15" outlineLevel="1">
      <c r="A96" s="188"/>
      <c r="B96" s="127"/>
      <c r="C96" s="128"/>
      <c r="D96" s="128">
        <f>6800</f>
        <v>6800</v>
      </c>
      <c r="E96" s="129" t="s">
        <v>32</v>
      </c>
      <c r="F96" s="130">
        <f>1700</f>
        <v>1700</v>
      </c>
      <c r="G96" s="130">
        <v>5000</v>
      </c>
      <c r="H96" s="130">
        <v>2111.1</v>
      </c>
      <c r="I96" s="130">
        <v>4340</v>
      </c>
      <c r="J96" s="130">
        <v>4340</v>
      </c>
      <c r="K96" s="130">
        <f>I96-J96</f>
        <v>0</v>
      </c>
      <c r="L96" s="131"/>
      <c r="M96" s="131"/>
      <c r="N96" s="131"/>
      <c r="O96" s="104"/>
      <c r="P96" s="300"/>
      <c r="Q96" s="190" t="s">
        <v>58</v>
      </c>
      <c r="R96" s="187">
        <f>1740+370+300</f>
        <v>2410</v>
      </c>
      <c r="S96" s="191">
        <v>875.964</v>
      </c>
      <c r="T96" s="125"/>
    </row>
    <row r="97" spans="1:20" ht="15" outlineLevel="1">
      <c r="A97" s="188"/>
      <c r="B97" s="127"/>
      <c r="C97" s="132"/>
      <c r="D97" s="132"/>
      <c r="E97" s="133" t="s">
        <v>33</v>
      </c>
      <c r="F97" s="131"/>
      <c r="G97" s="131"/>
      <c r="H97" s="131"/>
      <c r="I97" s="131"/>
      <c r="J97" s="131"/>
      <c r="K97" s="131">
        <f>I97-J97</f>
        <v>0</v>
      </c>
      <c r="L97" s="131"/>
      <c r="M97" s="131"/>
      <c r="N97" s="131"/>
      <c r="O97" s="104"/>
      <c r="P97" s="300"/>
      <c r="Q97" s="192" t="s">
        <v>58</v>
      </c>
      <c r="R97" s="193">
        <f>246+650+2323+889</f>
        <v>4108</v>
      </c>
      <c r="S97" s="191">
        <f>S96*1.048</f>
        <v>918.0102720000001</v>
      </c>
      <c r="T97" s="125"/>
    </row>
    <row r="98" spans="1:20" ht="15" outlineLevel="1">
      <c r="A98" s="188"/>
      <c r="B98" s="127"/>
      <c r="C98" s="132"/>
      <c r="D98" s="132"/>
      <c r="E98" s="133" t="s">
        <v>34</v>
      </c>
      <c r="F98" s="131">
        <v>700</v>
      </c>
      <c r="G98" s="131">
        <v>700</v>
      </c>
      <c r="H98" s="131">
        <v>700</v>
      </c>
      <c r="I98" s="131">
        <v>700</v>
      </c>
      <c r="J98" s="131"/>
      <c r="K98" s="131">
        <f>I98-J98</f>
        <v>700</v>
      </c>
      <c r="L98" s="131"/>
      <c r="M98" s="131"/>
      <c r="N98" s="131"/>
      <c r="O98" s="104"/>
      <c r="P98" s="300"/>
      <c r="Q98" s="194" t="s">
        <v>58</v>
      </c>
      <c r="R98" s="193">
        <f>787+300+1430+535</f>
        <v>3052</v>
      </c>
      <c r="S98" s="191"/>
      <c r="T98" s="125"/>
    </row>
    <row r="99" spans="1:20" ht="15" outlineLevel="1">
      <c r="A99" s="117" t="s">
        <v>81</v>
      </c>
      <c r="B99" s="118" t="s">
        <v>82</v>
      </c>
      <c r="C99" s="119">
        <f>C100+C101+C102</f>
        <v>0</v>
      </c>
      <c r="D99" s="119">
        <f>D100+D101+D102</f>
        <v>1897.6999999999998</v>
      </c>
      <c r="E99" s="120" t="s">
        <v>30</v>
      </c>
      <c r="F99" s="121">
        <f>L99+I99</f>
        <v>0</v>
      </c>
      <c r="G99" s="121">
        <f>G100+G101+G102</f>
        <v>5476</v>
      </c>
      <c r="H99" s="121">
        <f>H100+H101+H102</f>
        <v>45.5</v>
      </c>
      <c r="I99" s="121">
        <f>I100+I101+I102</f>
        <v>0</v>
      </c>
      <c r="J99" s="121">
        <f>J100+J101+J102</f>
        <v>0</v>
      </c>
      <c r="K99" s="121">
        <f>K100+K101+K102</f>
        <v>0</v>
      </c>
      <c r="L99" s="121"/>
      <c r="M99" s="121"/>
      <c r="N99" s="121"/>
      <c r="O99" s="104"/>
      <c r="P99" s="300"/>
      <c r="Q99" s="138"/>
      <c r="R99" s="139"/>
      <c r="S99" s="124"/>
      <c r="T99" s="125"/>
    </row>
    <row r="100" spans="1:20" ht="15" outlineLevel="1">
      <c r="A100" s="137"/>
      <c r="B100" s="127"/>
      <c r="C100" s="128"/>
      <c r="D100" s="128">
        <f>1797.2+99.1+0.3+0.5+0.6</f>
        <v>1897.6999999999998</v>
      </c>
      <c r="E100" s="129" t="s">
        <v>32</v>
      </c>
      <c r="F100" s="130"/>
      <c r="G100" s="130"/>
      <c r="H100" s="130">
        <f>4*2+7*1.5</f>
        <v>18.5</v>
      </c>
      <c r="I100" s="130"/>
      <c r="J100" s="130"/>
      <c r="K100" s="130">
        <f>I100-J100</f>
        <v>0</v>
      </c>
      <c r="L100" s="131"/>
      <c r="M100" s="131"/>
      <c r="N100" s="131"/>
      <c r="O100" s="104"/>
      <c r="P100" s="300"/>
      <c r="Q100" s="122"/>
      <c r="R100" s="135"/>
      <c r="S100" s="124"/>
      <c r="T100" s="125"/>
    </row>
    <row r="101" spans="1:20" ht="15" outlineLevel="1">
      <c r="A101" s="137"/>
      <c r="B101" s="127"/>
      <c r="C101" s="132"/>
      <c r="D101" s="132"/>
      <c r="E101" s="133" t="s">
        <v>33</v>
      </c>
      <c r="F101" s="131"/>
      <c r="G101" s="131"/>
      <c r="H101" s="195">
        <f>3*2+5*1.5</f>
        <v>13.5</v>
      </c>
      <c r="I101" s="131"/>
      <c r="J101" s="131"/>
      <c r="K101" s="131">
        <f>I101-J101</f>
        <v>0</v>
      </c>
      <c r="L101" s="131"/>
      <c r="M101" s="131"/>
      <c r="N101" s="131"/>
      <c r="O101" s="104"/>
      <c r="P101" s="196"/>
      <c r="Q101" s="122"/>
      <c r="R101" s="135"/>
      <c r="S101" s="124"/>
      <c r="T101" s="125"/>
    </row>
    <row r="102" spans="1:20" ht="15" outlineLevel="1">
      <c r="A102" s="137"/>
      <c r="B102" s="127"/>
      <c r="C102" s="132">
        <f>ROUND((C97*1.045),0)</f>
        <v>0</v>
      </c>
      <c r="D102" s="132">
        <f>ROUND((D97*1.045),0)</f>
        <v>0</v>
      </c>
      <c r="E102" s="133" t="s">
        <v>34</v>
      </c>
      <c r="F102" s="131"/>
      <c r="G102" s="131">
        <v>5476</v>
      </c>
      <c r="H102" s="195">
        <f>3*2+5*1.5</f>
        <v>13.5</v>
      </c>
      <c r="I102" s="131"/>
      <c r="J102" s="131"/>
      <c r="K102" s="131">
        <f>I102-J102</f>
        <v>0</v>
      </c>
      <c r="L102" s="131"/>
      <c r="M102" s="131"/>
      <c r="N102" s="131"/>
      <c r="O102" s="104"/>
      <c r="P102" s="196"/>
      <c r="Q102" s="138"/>
      <c r="R102" s="139"/>
      <c r="S102" s="124"/>
      <c r="T102" s="125"/>
    </row>
    <row r="103" spans="1:20" s="150" customFormat="1" ht="14.25" customHeight="1" hidden="1">
      <c r="A103" s="140" t="s">
        <v>83</v>
      </c>
      <c r="B103" s="141" t="s">
        <v>63</v>
      </c>
      <c r="C103" s="142">
        <f>SUM(C104:C108)</f>
        <v>0</v>
      </c>
      <c r="D103" s="142">
        <f>SUM(D104:D108)</f>
        <v>0</v>
      </c>
      <c r="E103" s="143" t="s">
        <v>32</v>
      </c>
      <c r="F103" s="145">
        <f aca="true" t="shared" si="26" ref="F103:N103">SUM(F104:F108)</f>
        <v>700</v>
      </c>
      <c r="G103" s="145">
        <f t="shared" si="26"/>
        <v>12674.85</v>
      </c>
      <c r="H103" s="145">
        <f t="shared" si="26"/>
        <v>11885.25</v>
      </c>
      <c r="I103" s="145"/>
      <c r="J103" s="145"/>
      <c r="K103" s="145"/>
      <c r="L103" s="145">
        <f t="shared" si="26"/>
        <v>0</v>
      </c>
      <c r="M103" s="145">
        <f t="shared" si="26"/>
        <v>0</v>
      </c>
      <c r="N103" s="145">
        <f t="shared" si="26"/>
        <v>0</v>
      </c>
      <c r="O103" s="104"/>
      <c r="P103" s="197"/>
      <c r="Q103" s="146"/>
      <c r="R103" s="147"/>
      <c r="S103" s="148"/>
      <c r="T103" s="149" t="str">
        <f>'[1]ДЦП Благоуст. (29.01.13 с изм.)'!E59</f>
        <v>2014 год</v>
      </c>
    </row>
    <row r="104" spans="1:20" s="99" customFormat="1" ht="15" customHeight="1" hidden="1" outlineLevel="1">
      <c r="A104" s="198"/>
      <c r="B104" s="199" t="s">
        <v>84</v>
      </c>
      <c r="C104" s="153"/>
      <c r="D104" s="153"/>
      <c r="E104" s="200"/>
      <c r="F104" s="155">
        <f>L104+I104</f>
        <v>0</v>
      </c>
      <c r="G104" s="155">
        <v>507.35</v>
      </c>
      <c r="H104" s="155">
        <v>507.35</v>
      </c>
      <c r="I104" s="155"/>
      <c r="J104" s="155"/>
      <c r="K104" s="155"/>
      <c r="L104" s="156"/>
      <c r="M104" s="156"/>
      <c r="N104" s="156"/>
      <c r="O104" s="104"/>
      <c r="P104" s="197"/>
      <c r="Q104" s="158"/>
      <c r="R104" s="159"/>
      <c r="S104" s="160"/>
      <c r="T104" s="161" t="str">
        <f>'[1]ДЦП Благоуст. (29.01.13 с изм.)'!E111</f>
        <v>2014 год</v>
      </c>
    </row>
    <row r="105" spans="1:20" s="99" customFormat="1" ht="15" customHeight="1" hidden="1" outlineLevel="1">
      <c r="A105" s="201"/>
      <c r="B105" s="202" t="s">
        <v>85</v>
      </c>
      <c r="C105" s="164"/>
      <c r="D105" s="164"/>
      <c r="E105" s="203"/>
      <c r="F105" s="166">
        <f>L105+I105</f>
        <v>0</v>
      </c>
      <c r="G105" s="166">
        <v>567.5</v>
      </c>
      <c r="H105" s="166"/>
      <c r="I105" s="166"/>
      <c r="J105" s="166"/>
      <c r="K105" s="166"/>
      <c r="L105" s="167"/>
      <c r="M105" s="167"/>
      <c r="N105" s="167"/>
      <c r="O105" s="104"/>
      <c r="P105" s="197"/>
      <c r="Q105" s="169"/>
      <c r="R105" s="170"/>
      <c r="S105" s="160"/>
      <c r="T105" s="161" t="str">
        <f>'[1]ДЦП Благоуст. (29.01.13 с изм.)'!E114</f>
        <v>2013 год</v>
      </c>
    </row>
    <row r="106" spans="1:20" s="99" customFormat="1" ht="15" customHeight="1" hidden="1" outlineLevel="1">
      <c r="A106" s="201"/>
      <c r="B106" s="202" t="s">
        <v>86</v>
      </c>
      <c r="C106" s="164"/>
      <c r="D106" s="164"/>
      <c r="E106" s="203"/>
      <c r="F106" s="166">
        <f>L106+I106</f>
        <v>0</v>
      </c>
      <c r="G106" s="166">
        <v>6800</v>
      </c>
      <c r="H106" s="166">
        <v>6700</v>
      </c>
      <c r="I106" s="166"/>
      <c r="J106" s="166"/>
      <c r="K106" s="166"/>
      <c r="L106" s="167"/>
      <c r="M106" s="167"/>
      <c r="N106" s="167"/>
      <c r="O106" s="104"/>
      <c r="P106" s="197"/>
      <c r="Q106" s="169"/>
      <c r="R106" s="170"/>
      <c r="S106" s="160"/>
      <c r="T106" s="161" t="str">
        <f>'[1]ДЦП Благоуст. (29.01.13 с изм.)'!E115</f>
        <v>2014 год</v>
      </c>
    </row>
    <row r="107" spans="1:20" s="99" customFormat="1" ht="15" customHeight="1" hidden="1" outlineLevel="1">
      <c r="A107" s="201"/>
      <c r="B107" s="202" t="s">
        <v>87</v>
      </c>
      <c r="C107" s="164"/>
      <c r="D107" s="164"/>
      <c r="E107" s="203"/>
      <c r="F107" s="166">
        <f>L107+I107</f>
        <v>0</v>
      </c>
      <c r="G107" s="166">
        <v>4100</v>
      </c>
      <c r="H107" s="166">
        <v>3977.9</v>
      </c>
      <c r="I107" s="166"/>
      <c r="J107" s="166"/>
      <c r="K107" s="166"/>
      <c r="L107" s="167"/>
      <c r="M107" s="167"/>
      <c r="N107" s="167"/>
      <c r="O107" s="104"/>
      <c r="P107" s="197"/>
      <c r="Q107" s="169"/>
      <c r="R107" s="170"/>
      <c r="S107" s="160"/>
      <c r="T107" s="161" t="str">
        <f>'[1]ДЦП Благоуст. (29.01.13 с изм.)'!E100</f>
        <v>2013 год</v>
      </c>
    </row>
    <row r="108" spans="1:20" s="99" customFormat="1" ht="15" hidden="1" outlineLevel="1">
      <c r="A108" s="204"/>
      <c r="B108" s="205" t="s">
        <v>88</v>
      </c>
      <c r="C108" s="173"/>
      <c r="D108" s="173"/>
      <c r="E108" s="206"/>
      <c r="F108" s="175">
        <v>700</v>
      </c>
      <c r="G108" s="175">
        <v>700</v>
      </c>
      <c r="H108" s="175">
        <v>700</v>
      </c>
      <c r="I108" s="175"/>
      <c r="J108" s="175"/>
      <c r="K108" s="175"/>
      <c r="L108" s="207"/>
      <c r="M108" s="207"/>
      <c r="N108" s="207"/>
      <c r="O108" s="104"/>
      <c r="P108" s="208"/>
      <c r="Q108" s="177"/>
      <c r="R108" s="178"/>
      <c r="S108" s="160"/>
      <c r="T108" s="161" t="str">
        <f>'[1]ДЦП Благоуст. (29.01.13 с изм.)'!E95</f>
        <v>2013-2015 годы</v>
      </c>
    </row>
    <row r="109" spans="1:20" s="209" customFormat="1" ht="28.5" collapsed="1">
      <c r="A109" s="100">
        <v>3</v>
      </c>
      <c r="B109" s="101" t="s">
        <v>89</v>
      </c>
      <c r="C109" s="102">
        <f>C110+C111+C112</f>
        <v>7931.8</v>
      </c>
      <c r="D109" s="102">
        <f>D110+D111+D112</f>
        <v>8917.8</v>
      </c>
      <c r="E109" s="103" t="s">
        <v>30</v>
      </c>
      <c r="F109" s="102">
        <f aca="true" t="shared" si="27" ref="F109:N109">F110+F111+F112</f>
        <v>19900</v>
      </c>
      <c r="G109" s="102">
        <f>G110+G111+G112</f>
        <v>26473.149999999998</v>
      </c>
      <c r="H109" s="102">
        <f>H110+H111+H112</f>
        <v>28029.5</v>
      </c>
      <c r="I109" s="102">
        <f t="shared" si="27"/>
        <v>23157</v>
      </c>
      <c r="J109" s="102">
        <f>J110+J111+J112</f>
        <v>5007</v>
      </c>
      <c r="K109" s="102">
        <f>K110+K111+K112</f>
        <v>18150</v>
      </c>
      <c r="L109" s="102">
        <f t="shared" si="27"/>
        <v>0</v>
      </c>
      <c r="M109" s="102">
        <f t="shared" si="27"/>
        <v>0</v>
      </c>
      <c r="N109" s="102">
        <f t="shared" si="27"/>
        <v>0</v>
      </c>
      <c r="O109" s="104"/>
      <c r="P109" s="299" t="s">
        <v>90</v>
      </c>
      <c r="Q109" s="105"/>
      <c r="R109" s="106"/>
      <c r="S109" s="179"/>
      <c r="T109" s="180">
        <f>SUM(T113:T123)</f>
        <v>0</v>
      </c>
    </row>
    <row r="110" spans="1:20" s="150" customFormat="1" ht="15">
      <c r="A110" s="181"/>
      <c r="B110" s="111"/>
      <c r="C110" s="112">
        <f>C114+C118+C121</f>
        <v>7931.8</v>
      </c>
      <c r="D110" s="112">
        <f>D114+D118+D121</f>
        <v>8917.8</v>
      </c>
      <c r="E110" s="113" t="s">
        <v>32</v>
      </c>
      <c r="F110" s="112">
        <f>F114+F118</f>
        <v>7500</v>
      </c>
      <c r="G110" s="112">
        <f>G114+G118+G121</f>
        <v>14073.149999999998</v>
      </c>
      <c r="H110" s="112">
        <f>H114+H118+H121</f>
        <v>15629.5</v>
      </c>
      <c r="I110" s="112">
        <f>I114+I118</f>
        <v>10757</v>
      </c>
      <c r="J110" s="112">
        <f>J114+J118+J121</f>
        <v>5007</v>
      </c>
      <c r="K110" s="112">
        <f>K114+K118+K121</f>
        <v>5750</v>
      </c>
      <c r="L110" s="112"/>
      <c r="M110" s="112"/>
      <c r="N110" s="112"/>
      <c r="O110" s="104"/>
      <c r="P110" s="300"/>
      <c r="Q110" s="95"/>
      <c r="R110" s="96"/>
      <c r="S110" s="182"/>
      <c r="T110" s="183"/>
    </row>
    <row r="111" spans="1:20" s="150" customFormat="1" ht="15">
      <c r="A111" s="181"/>
      <c r="B111" s="111"/>
      <c r="C111" s="112">
        <f>C115+C119</f>
        <v>0</v>
      </c>
      <c r="D111" s="112">
        <f>D115+D119</f>
        <v>0</v>
      </c>
      <c r="E111" s="113" t="s">
        <v>33</v>
      </c>
      <c r="F111" s="112">
        <f aca="true" t="shared" si="28" ref="F111:L112">F115+F119</f>
        <v>6200</v>
      </c>
      <c r="G111" s="112">
        <f t="shared" si="28"/>
        <v>6200</v>
      </c>
      <c r="H111" s="112">
        <f t="shared" si="28"/>
        <v>6200</v>
      </c>
      <c r="I111" s="112">
        <f t="shared" si="28"/>
        <v>6200</v>
      </c>
      <c r="J111" s="112">
        <f t="shared" si="28"/>
        <v>0</v>
      </c>
      <c r="K111" s="112">
        <f t="shared" si="28"/>
        <v>6200</v>
      </c>
      <c r="L111" s="112">
        <f t="shared" si="28"/>
        <v>0</v>
      </c>
      <c r="M111" s="112"/>
      <c r="N111" s="112"/>
      <c r="O111" s="104"/>
      <c r="P111" s="300"/>
      <c r="Q111" s="95"/>
      <c r="R111" s="96"/>
      <c r="S111" s="182"/>
      <c r="T111" s="183"/>
    </row>
    <row r="112" spans="1:21" s="150" customFormat="1" ht="15">
      <c r="A112" s="181"/>
      <c r="B112" s="111"/>
      <c r="C112" s="112">
        <f>C116+C120</f>
        <v>0</v>
      </c>
      <c r="D112" s="112">
        <f>D116+D120</f>
        <v>0</v>
      </c>
      <c r="E112" s="113" t="s">
        <v>34</v>
      </c>
      <c r="F112" s="112">
        <f t="shared" si="28"/>
        <v>6200</v>
      </c>
      <c r="G112" s="112">
        <f t="shared" si="28"/>
        <v>6200</v>
      </c>
      <c r="H112" s="112">
        <f t="shared" si="28"/>
        <v>6200</v>
      </c>
      <c r="I112" s="112">
        <f t="shared" si="28"/>
        <v>6200</v>
      </c>
      <c r="J112" s="112">
        <f t="shared" si="28"/>
        <v>0</v>
      </c>
      <c r="K112" s="112">
        <f t="shared" si="28"/>
        <v>6200</v>
      </c>
      <c r="L112" s="112">
        <f t="shared" si="28"/>
        <v>0</v>
      </c>
      <c r="M112" s="112"/>
      <c r="N112" s="112"/>
      <c r="O112" s="104"/>
      <c r="P112" s="300"/>
      <c r="Q112" s="95"/>
      <c r="R112" s="96"/>
      <c r="S112" s="182"/>
      <c r="T112" s="183"/>
      <c r="U112" s="210" t="e">
        <f>G112-'[2]ДЦП Благоуст. (29.01.13 с изм.)'!$S$69</f>
        <v>#REF!</v>
      </c>
    </row>
    <row r="113" spans="1:20" ht="30" outlineLevel="1">
      <c r="A113" s="117" t="s">
        <v>91</v>
      </c>
      <c r="B113" s="118" t="s">
        <v>178</v>
      </c>
      <c r="C113" s="119">
        <f>C114+C115+C116</f>
        <v>3019.3</v>
      </c>
      <c r="D113" s="119">
        <f>D114+D115+D116</f>
        <v>1248.8</v>
      </c>
      <c r="E113" s="120" t="s">
        <v>30</v>
      </c>
      <c r="F113" s="121">
        <f>L113+I113</f>
        <v>1400</v>
      </c>
      <c r="G113" s="121">
        <f aca="true" t="shared" si="29" ref="G113:L113">G114+G115+G116</f>
        <v>3707.8</v>
      </c>
      <c r="H113" s="121">
        <f t="shared" si="29"/>
        <v>2900</v>
      </c>
      <c r="I113" s="121">
        <f t="shared" si="29"/>
        <v>1400</v>
      </c>
      <c r="J113" s="121">
        <f t="shared" si="29"/>
        <v>0</v>
      </c>
      <c r="K113" s="121">
        <f t="shared" si="29"/>
        <v>1400</v>
      </c>
      <c r="L113" s="121">
        <f t="shared" si="29"/>
        <v>0</v>
      </c>
      <c r="M113" s="121"/>
      <c r="N113" s="121"/>
      <c r="O113" s="104"/>
      <c r="P113" s="300"/>
      <c r="Q113" s="122" t="s">
        <v>61</v>
      </c>
      <c r="R113" s="135">
        <f>R114+R115+R116</f>
        <v>2700</v>
      </c>
      <c r="S113" s="124"/>
      <c r="T113" s="125" t="str">
        <f>'[1]ДЦП Благоуст. (29.01.13 с изм.)'!E129</f>
        <v>2013 год</v>
      </c>
    </row>
    <row r="114" spans="1:20" ht="15" outlineLevel="1">
      <c r="A114" s="137"/>
      <c r="B114" s="127"/>
      <c r="C114" s="128">
        <f>99.6+99.1+100+1724.7+499.4+496.5</f>
        <v>3019.3</v>
      </c>
      <c r="D114" s="128">
        <f>499.4+499.4+100+100+50</f>
        <v>1248.8</v>
      </c>
      <c r="E114" s="129" t="s">
        <v>32</v>
      </c>
      <c r="F114" s="130">
        <f>1000</f>
        <v>1000</v>
      </c>
      <c r="G114" s="130">
        <v>2307.8</v>
      </c>
      <c r="H114" s="130">
        <v>1500</v>
      </c>
      <c r="I114" s="130"/>
      <c r="J114" s="130"/>
      <c r="K114" s="130">
        <f>I114-J114</f>
        <v>0</v>
      </c>
      <c r="L114" s="131"/>
      <c r="M114" s="131"/>
      <c r="N114" s="131"/>
      <c r="O114" s="104"/>
      <c r="P114" s="300"/>
      <c r="Q114" s="138" t="s">
        <v>61</v>
      </c>
      <c r="R114" s="139">
        <v>900</v>
      </c>
      <c r="S114" s="124"/>
      <c r="T114" s="125"/>
    </row>
    <row r="115" spans="1:20" ht="15" outlineLevel="1">
      <c r="A115" s="137"/>
      <c r="B115" s="127"/>
      <c r="C115" s="132"/>
      <c r="D115" s="132"/>
      <c r="E115" s="133" t="s">
        <v>33</v>
      </c>
      <c r="F115" s="131">
        <v>700</v>
      </c>
      <c r="G115" s="131">
        <v>700</v>
      </c>
      <c r="H115" s="131">
        <v>700</v>
      </c>
      <c r="I115" s="131">
        <v>700</v>
      </c>
      <c r="J115" s="131"/>
      <c r="K115" s="131">
        <f>I115-J115</f>
        <v>700</v>
      </c>
      <c r="L115" s="131"/>
      <c r="M115" s="131"/>
      <c r="N115" s="131"/>
      <c r="O115" s="104"/>
      <c r="P115" s="300"/>
      <c r="Q115" s="138" t="s">
        <v>61</v>
      </c>
      <c r="R115" s="139">
        <v>900</v>
      </c>
      <c r="S115" s="124"/>
      <c r="T115" s="125"/>
    </row>
    <row r="116" spans="1:20" ht="15" outlineLevel="1">
      <c r="A116" s="137"/>
      <c r="B116" s="127"/>
      <c r="C116" s="132"/>
      <c r="D116" s="132"/>
      <c r="E116" s="133" t="s">
        <v>34</v>
      </c>
      <c r="F116" s="131">
        <v>700</v>
      </c>
      <c r="G116" s="131">
        <v>700</v>
      </c>
      <c r="H116" s="131">
        <v>700</v>
      </c>
      <c r="I116" s="131">
        <v>700</v>
      </c>
      <c r="J116" s="131"/>
      <c r="K116" s="131">
        <f>I116-J116</f>
        <v>700</v>
      </c>
      <c r="L116" s="131"/>
      <c r="M116" s="131"/>
      <c r="N116" s="131"/>
      <c r="O116" s="104"/>
      <c r="P116" s="300"/>
      <c r="Q116" s="138" t="s">
        <v>61</v>
      </c>
      <c r="R116" s="139">
        <v>900</v>
      </c>
      <c r="S116" s="124"/>
      <c r="T116" s="125"/>
    </row>
    <row r="117" spans="1:20" ht="30" outlineLevel="1">
      <c r="A117" s="117" t="s">
        <v>92</v>
      </c>
      <c r="B117" s="118" t="s">
        <v>179</v>
      </c>
      <c r="C117" s="119">
        <f>C118+C119+C120</f>
        <v>4912.5</v>
      </c>
      <c r="D117" s="119">
        <f>D118+D119+D120</f>
        <v>7669</v>
      </c>
      <c r="E117" s="120" t="s">
        <v>30</v>
      </c>
      <c r="F117" s="121">
        <f aca="true" t="shared" si="30" ref="F117:L117">F118+F119+F120</f>
        <v>17500</v>
      </c>
      <c r="G117" s="121">
        <f t="shared" si="30"/>
        <v>18766.73</v>
      </c>
      <c r="H117" s="121">
        <f t="shared" si="30"/>
        <v>18700</v>
      </c>
      <c r="I117" s="121">
        <f t="shared" si="30"/>
        <v>21757</v>
      </c>
      <c r="J117" s="121">
        <f t="shared" si="30"/>
        <v>5007</v>
      </c>
      <c r="K117" s="121">
        <f t="shared" si="30"/>
        <v>16750</v>
      </c>
      <c r="L117" s="121">
        <f t="shared" si="30"/>
        <v>0</v>
      </c>
      <c r="M117" s="121"/>
      <c r="N117" s="121"/>
      <c r="O117" s="104"/>
      <c r="P117" s="300"/>
      <c r="Q117" s="122" t="s">
        <v>93</v>
      </c>
      <c r="R117" s="135">
        <v>2420</v>
      </c>
      <c r="S117" s="124"/>
      <c r="T117" s="125" t="str">
        <f>'[1]ДЦП Благоуст. (29.01.13 с изм.)'!E133</f>
        <v>2013 год</v>
      </c>
    </row>
    <row r="118" spans="1:20" ht="15" outlineLevel="1">
      <c r="A118" s="137"/>
      <c r="B118" s="127"/>
      <c r="C118" s="128">
        <f>64.6+100+65+4682.9</f>
        <v>4912.5</v>
      </c>
      <c r="D118" s="128">
        <f>7404+100+100+65</f>
        <v>7669</v>
      </c>
      <c r="E118" s="129" t="s">
        <v>32</v>
      </c>
      <c r="F118" s="130">
        <f>5000+1500</f>
        <v>6500</v>
      </c>
      <c r="G118" s="130">
        <v>7766.73</v>
      </c>
      <c r="H118" s="130">
        <v>7700</v>
      </c>
      <c r="I118" s="130">
        <f>6507+4250</f>
        <v>10757</v>
      </c>
      <c r="J118" s="130">
        <v>5007</v>
      </c>
      <c r="K118" s="130">
        <f>I118-J118</f>
        <v>5750</v>
      </c>
      <c r="L118" s="131"/>
      <c r="M118" s="131"/>
      <c r="N118" s="131"/>
      <c r="O118" s="104"/>
      <c r="P118" s="300"/>
      <c r="Q118" s="122"/>
      <c r="R118" s="135"/>
      <c r="S118" s="124"/>
      <c r="T118" s="125"/>
    </row>
    <row r="119" spans="1:20" ht="15" outlineLevel="1">
      <c r="A119" s="137"/>
      <c r="B119" s="127"/>
      <c r="C119" s="132"/>
      <c r="D119" s="132"/>
      <c r="E119" s="133" t="s">
        <v>33</v>
      </c>
      <c r="F119" s="131">
        <v>5500</v>
      </c>
      <c r="G119" s="131">
        <v>5500</v>
      </c>
      <c r="H119" s="131">
        <v>5500</v>
      </c>
      <c r="I119" s="131">
        <v>5500</v>
      </c>
      <c r="J119" s="131"/>
      <c r="K119" s="131">
        <f>I119-J119</f>
        <v>5500</v>
      </c>
      <c r="L119" s="131"/>
      <c r="M119" s="131"/>
      <c r="N119" s="131"/>
      <c r="O119" s="104"/>
      <c r="P119" s="300"/>
      <c r="Q119" s="122"/>
      <c r="R119" s="135"/>
      <c r="S119" s="124"/>
      <c r="T119" s="125"/>
    </row>
    <row r="120" spans="1:20" ht="15" outlineLevel="1">
      <c r="A120" s="137"/>
      <c r="B120" s="127"/>
      <c r="C120" s="132"/>
      <c r="D120" s="132"/>
      <c r="E120" s="133" t="s">
        <v>34</v>
      </c>
      <c r="F120" s="131">
        <v>5500</v>
      </c>
      <c r="G120" s="131">
        <v>5500</v>
      </c>
      <c r="H120" s="131">
        <v>5500</v>
      </c>
      <c r="I120" s="131">
        <v>5500</v>
      </c>
      <c r="J120" s="131"/>
      <c r="K120" s="131">
        <f>I120-J120</f>
        <v>5500</v>
      </c>
      <c r="L120" s="131"/>
      <c r="M120" s="131"/>
      <c r="N120" s="131"/>
      <c r="O120" s="104"/>
      <c r="P120" s="300"/>
      <c r="Q120" s="122"/>
      <c r="R120" s="135"/>
      <c r="S120" s="124"/>
      <c r="T120" s="125"/>
    </row>
    <row r="121" spans="1:20" s="150" customFormat="1" ht="14.25" hidden="1">
      <c r="A121" s="140" t="s">
        <v>94</v>
      </c>
      <c r="B121" s="141" t="s">
        <v>63</v>
      </c>
      <c r="C121" s="142">
        <f>SUM(C122:C123)</f>
        <v>0</v>
      </c>
      <c r="D121" s="142">
        <f>SUM(D122:D123)</f>
        <v>0</v>
      </c>
      <c r="E121" s="143" t="s">
        <v>32</v>
      </c>
      <c r="F121" s="145">
        <f>SUM(F122:F123)</f>
        <v>1500</v>
      </c>
      <c r="G121" s="145">
        <f>SUM(G122:G123)</f>
        <v>3998.62</v>
      </c>
      <c r="H121" s="145">
        <f>SUM(H122:H123)</f>
        <v>6429.5</v>
      </c>
      <c r="I121" s="145"/>
      <c r="J121" s="145"/>
      <c r="K121" s="145"/>
      <c r="L121" s="145">
        <f>SUM(L122:L126)</f>
        <v>0</v>
      </c>
      <c r="M121" s="145">
        <f>SUM(M122:M126)</f>
        <v>0</v>
      </c>
      <c r="N121" s="145">
        <f>SUM(N122:N126)</f>
        <v>0</v>
      </c>
      <c r="O121" s="104"/>
      <c r="P121" s="300"/>
      <c r="Q121" s="146"/>
      <c r="R121" s="147"/>
      <c r="S121" s="148"/>
      <c r="T121" s="149" t="str">
        <f>'[1]ДЦП Благоуст. (29.01.13 с изм.)'!E77</f>
        <v>2014 год</v>
      </c>
    </row>
    <row r="122" spans="1:20" s="99" customFormat="1" ht="15" customHeight="1" hidden="1" outlineLevel="1">
      <c r="A122" s="198"/>
      <c r="B122" s="199" t="s">
        <v>95</v>
      </c>
      <c r="C122" s="153"/>
      <c r="D122" s="153"/>
      <c r="E122" s="211"/>
      <c r="F122" s="157">
        <f>L122+I122</f>
        <v>0</v>
      </c>
      <c r="G122" s="212">
        <v>539.5</v>
      </c>
      <c r="H122" s="212">
        <v>539.5</v>
      </c>
      <c r="I122" s="212"/>
      <c r="J122" s="212"/>
      <c r="K122" s="212"/>
      <c r="L122" s="157"/>
      <c r="M122" s="157"/>
      <c r="N122" s="157"/>
      <c r="O122" s="104"/>
      <c r="P122" s="300"/>
      <c r="Q122" s="158"/>
      <c r="R122" s="159"/>
      <c r="S122" s="160"/>
      <c r="T122" s="161" t="str">
        <f>'[1]ДЦП Благоуст. (29.01.13 с изм.)'!E128</f>
        <v>2013-2015 годы</v>
      </c>
    </row>
    <row r="123" spans="1:20" s="99" customFormat="1" ht="15" hidden="1" outlineLevel="1">
      <c r="A123" s="204"/>
      <c r="B123" s="205" t="s">
        <v>96</v>
      </c>
      <c r="C123" s="173"/>
      <c r="D123" s="173"/>
      <c r="E123" s="213"/>
      <c r="F123" s="175">
        <v>1500</v>
      </c>
      <c r="G123" s="214">
        <v>3459.12</v>
      </c>
      <c r="H123" s="214">
        <v>5890</v>
      </c>
      <c r="I123" s="214"/>
      <c r="J123" s="214"/>
      <c r="K123" s="214"/>
      <c r="L123" s="176"/>
      <c r="M123" s="176"/>
      <c r="N123" s="176"/>
      <c r="O123" s="104"/>
      <c r="P123" s="301"/>
      <c r="Q123" s="177"/>
      <c r="R123" s="178"/>
      <c r="S123" s="160"/>
      <c r="T123" s="161" t="str">
        <f>'[1]ДЦП Благоуст. (29.01.13 с изм.)'!E132</f>
        <v>2013-2015 годы</v>
      </c>
    </row>
    <row r="124" spans="1:20" s="109" customFormat="1" ht="42.75" customHeight="1" collapsed="1">
      <c r="A124" s="100">
        <v>4</v>
      </c>
      <c r="B124" s="101" t="s">
        <v>97</v>
      </c>
      <c r="C124" s="102" t="e">
        <f>C125+C126+C127</f>
        <v>#REF!</v>
      </c>
      <c r="D124" s="102" t="e">
        <f>D125+D126+D127</f>
        <v>#REF!</v>
      </c>
      <c r="E124" s="103" t="s">
        <v>30</v>
      </c>
      <c r="F124" s="102">
        <f aca="true" t="shared" si="31" ref="F124:L124">F125+F126+F127</f>
        <v>43110</v>
      </c>
      <c r="G124" s="102">
        <f t="shared" si="31"/>
        <v>126589.87788</v>
      </c>
      <c r="H124" s="102">
        <f t="shared" si="31"/>
        <v>95877.88388000001</v>
      </c>
      <c r="I124" s="102">
        <f t="shared" si="31"/>
        <v>51933</v>
      </c>
      <c r="J124" s="102">
        <f>J125+J126+J127</f>
        <v>18128</v>
      </c>
      <c r="K124" s="102">
        <f>K125+K126+K127</f>
        <v>33805</v>
      </c>
      <c r="L124" s="102">
        <f t="shared" si="31"/>
        <v>0</v>
      </c>
      <c r="M124" s="102"/>
      <c r="N124" s="102"/>
      <c r="O124" s="104"/>
      <c r="P124" s="299" t="s">
        <v>190</v>
      </c>
      <c r="Q124" s="105"/>
      <c r="R124" s="106"/>
      <c r="S124" s="179"/>
      <c r="T124" s="180">
        <f>SUM(T128:T254)</f>
        <v>0</v>
      </c>
    </row>
    <row r="125" spans="1:20" s="99" customFormat="1" ht="15">
      <c r="A125" s="110"/>
      <c r="B125" s="111"/>
      <c r="C125" s="112">
        <f>C129+C133+C137+C141+C177+C201+C205+C145+C149+C153+C157+C181+C165+C161+C169+C225+C217+C209+C213+C193+C229+C173+C189+C185+C197+C221+C233+C237+C244+C241</f>
        <v>13039.800000000001</v>
      </c>
      <c r="D125" s="112">
        <f>D129+D133+D137+D141+D177+D201+D205+D145+D149+D153+D157+D181+D165+D161+D169+D225+D217+D209+D213+D193+D229+D173+D189+D185+D197+D221+D233+D237+D244+D241</f>
        <v>27722.07</v>
      </c>
      <c r="E125" s="113" t="s">
        <v>32</v>
      </c>
      <c r="F125" s="112">
        <f aca="true" t="shared" si="32" ref="F125:N125">F129+F133+F137+F141+F177+F201+F205+F145+F149+F153+F157+F181+F165+F161+F169+F225+F217+F209+F213+F193+F229+F173+F189+F185+F197+F221+F233+F237+F244+F241</f>
        <v>16810</v>
      </c>
      <c r="G125" s="112">
        <f t="shared" si="32"/>
        <v>82405.87788</v>
      </c>
      <c r="H125" s="112">
        <f t="shared" si="32"/>
        <v>55948.88388</v>
      </c>
      <c r="I125" s="112">
        <f t="shared" si="32"/>
        <v>25633</v>
      </c>
      <c r="J125" s="112">
        <f t="shared" si="32"/>
        <v>18128</v>
      </c>
      <c r="K125" s="112">
        <f t="shared" si="32"/>
        <v>7505</v>
      </c>
      <c r="L125" s="112">
        <f t="shared" si="32"/>
        <v>0</v>
      </c>
      <c r="M125" s="112">
        <f t="shared" si="32"/>
        <v>0</v>
      </c>
      <c r="N125" s="112">
        <f t="shared" si="32"/>
        <v>0</v>
      </c>
      <c r="O125" s="104"/>
      <c r="P125" s="300"/>
      <c r="Q125" s="95"/>
      <c r="R125" s="96"/>
      <c r="S125" s="182"/>
      <c r="T125" s="183"/>
    </row>
    <row r="126" spans="1:20" s="99" customFormat="1" ht="15">
      <c r="A126" s="110"/>
      <c r="B126" s="111"/>
      <c r="C126" s="112" t="e">
        <f>C130+C134+C138+C142+C178+C202+C206+C146+C150+C154+C158+C182+C166+C162+C170+C226+C218+C210+C214+C194+C230+#REF!+#REF!+C186+C198+C222+C234+C238+C245+C242</f>
        <v>#REF!</v>
      </c>
      <c r="D126" s="112" t="e">
        <f>D130+D134+D138+D142+D178+D202+D206+D146+D150+D154+D158+D182+D166+D162+D170+D226+D218+D210+D214+D194+D230+#REF!+#REF!+D186+D198+D222+D234+D238+D245+D242</f>
        <v>#REF!</v>
      </c>
      <c r="E126" s="113" t="s">
        <v>33</v>
      </c>
      <c r="F126" s="112">
        <f aca="true" t="shared" si="33" ref="F126:N127">F130+F134+F138+F142+F178+F202+F206+F146+F150+F154+F158+F182+F166+F162+F170+F226+F218+F210+F214+F194+F230+F174+F190+F186+F198+F222+F234+F238+F242</f>
        <v>13200</v>
      </c>
      <c r="G126" s="112">
        <f t="shared" si="33"/>
        <v>15833</v>
      </c>
      <c r="H126" s="112">
        <f t="shared" si="33"/>
        <v>14910</v>
      </c>
      <c r="I126" s="112">
        <f t="shared" si="33"/>
        <v>13200</v>
      </c>
      <c r="J126" s="112">
        <f t="shared" si="33"/>
        <v>0</v>
      </c>
      <c r="K126" s="112">
        <f t="shared" si="33"/>
        <v>13200</v>
      </c>
      <c r="L126" s="112">
        <f t="shared" si="33"/>
        <v>0</v>
      </c>
      <c r="M126" s="112">
        <f t="shared" si="33"/>
        <v>0</v>
      </c>
      <c r="N126" s="112">
        <f t="shared" si="33"/>
        <v>0</v>
      </c>
      <c r="O126" s="104"/>
      <c r="P126" s="300"/>
      <c r="Q126" s="95"/>
      <c r="R126" s="96"/>
      <c r="S126" s="182"/>
      <c r="T126" s="183"/>
    </row>
    <row r="127" spans="1:21" s="99" customFormat="1" ht="15">
      <c r="A127" s="110"/>
      <c r="B127" s="111"/>
      <c r="C127" s="112" t="e">
        <f>C131+C135+C139+C143+C179+C203+C207+C147+C151+C155+C159+C183+C167+C163+C171+C227+C219+C211+C215+C195+C231+#REF!+#REF!+C187+C199+C223+C235+C239+C246+C243</f>
        <v>#REF!</v>
      </c>
      <c r="D127" s="112" t="e">
        <f>D131+D135+D139+D143+D179+D203+D207+D147+D151+D155+D159+D183+D167+D163+D171+D227+D219+D211+D215+D195+D231+#REF!+#REF!+D187+D199+D223+D235+D239+D246+D243</f>
        <v>#REF!</v>
      </c>
      <c r="E127" s="113" t="s">
        <v>34</v>
      </c>
      <c r="F127" s="112">
        <f t="shared" si="33"/>
        <v>13100</v>
      </c>
      <c r="G127" s="112">
        <f t="shared" si="33"/>
        <v>28351</v>
      </c>
      <c r="H127" s="112">
        <f t="shared" si="33"/>
        <v>25019</v>
      </c>
      <c r="I127" s="112">
        <f t="shared" si="33"/>
        <v>13100</v>
      </c>
      <c r="J127" s="112">
        <f t="shared" si="33"/>
        <v>0</v>
      </c>
      <c r="K127" s="112">
        <f t="shared" si="33"/>
        <v>13100</v>
      </c>
      <c r="L127" s="112">
        <f t="shared" si="33"/>
        <v>0</v>
      </c>
      <c r="M127" s="112">
        <f t="shared" si="33"/>
        <v>0</v>
      </c>
      <c r="N127" s="112">
        <f t="shared" si="33"/>
        <v>0</v>
      </c>
      <c r="O127" s="104"/>
      <c r="P127" s="300"/>
      <c r="Q127" s="95"/>
      <c r="R127" s="96"/>
      <c r="S127" s="182"/>
      <c r="T127" s="183"/>
      <c r="U127" s="116" t="e">
        <f>G127-'[2]ДЦП Благоуст. (29.01.13 с изм.)'!$S$74</f>
        <v>#REF!</v>
      </c>
    </row>
    <row r="128" spans="1:20" ht="30">
      <c r="A128" s="117" t="s">
        <v>98</v>
      </c>
      <c r="B128" s="118" t="s">
        <v>180</v>
      </c>
      <c r="C128" s="119">
        <f>C129+C130+C131</f>
        <v>499.4</v>
      </c>
      <c r="D128" s="119">
        <f>D129+D130+D131</f>
        <v>1996</v>
      </c>
      <c r="E128" s="120" t="s">
        <v>30</v>
      </c>
      <c r="F128" s="121">
        <f>L128+I128</f>
        <v>5615</v>
      </c>
      <c r="G128" s="121">
        <f aca="true" t="shared" si="34" ref="G128:L128">G129+G130+G131</f>
        <v>3680.87</v>
      </c>
      <c r="H128" s="121">
        <f t="shared" si="34"/>
        <v>3000</v>
      </c>
      <c r="I128" s="121">
        <f t="shared" si="34"/>
        <v>5615</v>
      </c>
      <c r="J128" s="121">
        <f t="shared" si="34"/>
        <v>3715</v>
      </c>
      <c r="K128" s="121">
        <f t="shared" si="34"/>
        <v>1900</v>
      </c>
      <c r="L128" s="121">
        <f t="shared" si="34"/>
        <v>0</v>
      </c>
      <c r="M128" s="121"/>
      <c r="N128" s="121"/>
      <c r="O128" s="104"/>
      <c r="P128" s="300"/>
      <c r="Q128" s="122" t="s">
        <v>99</v>
      </c>
      <c r="R128" s="135">
        <f>R129+R130+R131</f>
        <v>747</v>
      </c>
      <c r="S128" s="124"/>
      <c r="T128" s="125" t="str">
        <f>'[1]ДЦП Благоуст. (29.01.13 с изм.)'!E137</f>
        <v>2013 год</v>
      </c>
    </row>
    <row r="129" spans="1:20" ht="15">
      <c r="A129" s="137"/>
      <c r="B129" s="127"/>
      <c r="C129" s="128">
        <f>13.3+36.8+40.1+122.9+286.3</f>
        <v>499.4</v>
      </c>
      <c r="D129" s="128">
        <f>499*4</f>
        <v>1996</v>
      </c>
      <c r="E129" s="129" t="s">
        <v>32</v>
      </c>
      <c r="F129" s="130">
        <v>1000</v>
      </c>
      <c r="G129" s="130">
        <v>2180.87</v>
      </c>
      <c r="H129" s="130">
        <v>1500</v>
      </c>
      <c r="I129" s="130">
        <f>4015+100</f>
        <v>4115</v>
      </c>
      <c r="J129" s="130">
        <v>3715</v>
      </c>
      <c r="K129" s="130">
        <f>I129-J129</f>
        <v>400</v>
      </c>
      <c r="L129" s="131"/>
      <c r="M129" s="131"/>
      <c r="N129" s="131"/>
      <c r="O129" s="104"/>
      <c r="P129" s="300"/>
      <c r="Q129" s="138" t="s">
        <v>99</v>
      </c>
      <c r="R129" s="139">
        <v>249</v>
      </c>
      <c r="S129" s="124"/>
      <c r="T129" s="125"/>
    </row>
    <row r="130" spans="1:20" ht="15">
      <c r="A130" s="137"/>
      <c r="B130" s="127"/>
      <c r="C130" s="132"/>
      <c r="D130" s="132"/>
      <c r="E130" s="133" t="s">
        <v>33</v>
      </c>
      <c r="F130" s="131">
        <v>800</v>
      </c>
      <c r="G130" s="131">
        <v>800</v>
      </c>
      <c r="H130" s="131">
        <v>800</v>
      </c>
      <c r="I130" s="131">
        <v>800</v>
      </c>
      <c r="J130" s="131"/>
      <c r="K130" s="131">
        <f>I130-J130</f>
        <v>800</v>
      </c>
      <c r="L130" s="131"/>
      <c r="M130" s="131"/>
      <c r="N130" s="131"/>
      <c r="O130" s="104"/>
      <c r="P130" s="300"/>
      <c r="Q130" s="138" t="s">
        <v>99</v>
      </c>
      <c r="R130" s="139">
        <v>249</v>
      </c>
      <c r="S130" s="124"/>
      <c r="T130" s="125"/>
    </row>
    <row r="131" spans="1:21" ht="15">
      <c r="A131" s="137"/>
      <c r="B131" s="127"/>
      <c r="C131" s="132"/>
      <c r="D131" s="132"/>
      <c r="E131" s="133" t="s">
        <v>34</v>
      </c>
      <c r="F131" s="131">
        <v>700</v>
      </c>
      <c r="G131" s="131">
        <v>700</v>
      </c>
      <c r="H131" s="131">
        <v>700</v>
      </c>
      <c r="I131" s="131">
        <v>700</v>
      </c>
      <c r="J131" s="131"/>
      <c r="K131" s="131">
        <f>I131-J131</f>
        <v>700</v>
      </c>
      <c r="L131" s="131"/>
      <c r="M131" s="131"/>
      <c r="N131" s="131"/>
      <c r="O131" s="104"/>
      <c r="P131" s="300"/>
      <c r="Q131" s="138" t="s">
        <v>99</v>
      </c>
      <c r="R131" s="139">
        <v>249</v>
      </c>
      <c r="S131" s="124"/>
      <c r="T131" s="125"/>
      <c r="U131" s="134" t="e">
        <f>G131-'[2]ДЦП Благоуст. (29.01.13 с изм.)'!$S$75</f>
        <v>#REF!</v>
      </c>
    </row>
    <row r="132" spans="1:20" ht="30">
      <c r="A132" s="117" t="s">
        <v>100</v>
      </c>
      <c r="B132" s="118" t="s">
        <v>101</v>
      </c>
      <c r="C132" s="119">
        <f>C133+C134+C135</f>
        <v>0</v>
      </c>
      <c r="D132" s="119">
        <f>D133+D134+D135</f>
        <v>198.4</v>
      </c>
      <c r="E132" s="120" t="s">
        <v>30</v>
      </c>
      <c r="F132" s="121">
        <f>L132+I132</f>
        <v>1070</v>
      </c>
      <c r="G132" s="121">
        <f aca="true" t="shared" si="35" ref="G132:L132">G133+G134+G135</f>
        <v>1060.03</v>
      </c>
      <c r="H132" s="121">
        <f t="shared" si="35"/>
        <v>1060.05</v>
      </c>
      <c r="I132" s="121">
        <f t="shared" si="35"/>
        <v>1070</v>
      </c>
      <c r="J132" s="121">
        <f t="shared" si="35"/>
        <v>7</v>
      </c>
      <c r="K132" s="121">
        <f t="shared" si="35"/>
        <v>1063</v>
      </c>
      <c r="L132" s="121">
        <f t="shared" si="35"/>
        <v>0</v>
      </c>
      <c r="M132" s="121"/>
      <c r="N132" s="121"/>
      <c r="O132" s="104"/>
      <c r="P132" s="300"/>
      <c r="Q132" s="138"/>
      <c r="R132" s="139"/>
      <c r="S132" s="124"/>
      <c r="T132" s="125" t="str">
        <f>'[1]ДЦП Благоуст. (29.01.13 с изм.)'!E141</f>
        <v>2013 год</v>
      </c>
    </row>
    <row r="133" spans="1:20" ht="15">
      <c r="A133" s="137"/>
      <c r="B133" s="127"/>
      <c r="C133" s="128"/>
      <c r="D133" s="128">
        <f>35+35+128.4</f>
        <v>198.4</v>
      </c>
      <c r="E133" s="129" t="s">
        <v>32</v>
      </c>
      <c r="F133" s="130">
        <v>370</v>
      </c>
      <c r="G133" s="130">
        <f>56.9+39.27+129.2+134.66</f>
        <v>360.03</v>
      </c>
      <c r="H133" s="130">
        <f>56.9+39.27+129.2+134.68</f>
        <v>360.05</v>
      </c>
      <c r="I133" s="130">
        <f>56.9+39.27+129.2+134.68+0.95+9</f>
        <v>370</v>
      </c>
      <c r="J133" s="130">
        <v>7</v>
      </c>
      <c r="K133" s="130">
        <f>I133-J133</f>
        <v>363</v>
      </c>
      <c r="L133" s="131"/>
      <c r="M133" s="131"/>
      <c r="N133" s="131"/>
      <c r="O133" s="104"/>
      <c r="P133" s="300"/>
      <c r="Q133" s="138"/>
      <c r="R133" s="139"/>
      <c r="S133" s="124"/>
      <c r="T133" s="125"/>
    </row>
    <row r="134" spans="1:20" ht="15">
      <c r="A134" s="137"/>
      <c r="B134" s="127"/>
      <c r="C134" s="132"/>
      <c r="D134" s="132"/>
      <c r="E134" s="133" t="s">
        <v>33</v>
      </c>
      <c r="F134" s="131">
        <v>350</v>
      </c>
      <c r="G134" s="131">
        <v>350</v>
      </c>
      <c r="H134" s="131">
        <v>350</v>
      </c>
      <c r="I134" s="131">
        <v>350</v>
      </c>
      <c r="J134" s="131"/>
      <c r="K134" s="131">
        <f>I134-J134</f>
        <v>350</v>
      </c>
      <c r="L134" s="131"/>
      <c r="M134" s="131"/>
      <c r="N134" s="131"/>
      <c r="O134" s="104"/>
      <c r="P134" s="300"/>
      <c r="Q134" s="138"/>
      <c r="R134" s="139"/>
      <c r="S134" s="124"/>
      <c r="T134" s="125"/>
    </row>
    <row r="135" spans="1:21" ht="15">
      <c r="A135" s="137"/>
      <c r="B135" s="127"/>
      <c r="C135" s="132"/>
      <c r="D135" s="132"/>
      <c r="E135" s="133" t="s">
        <v>34</v>
      </c>
      <c r="F135" s="131">
        <v>350</v>
      </c>
      <c r="G135" s="131">
        <v>350</v>
      </c>
      <c r="H135" s="131">
        <v>350</v>
      </c>
      <c r="I135" s="131">
        <v>350</v>
      </c>
      <c r="J135" s="131"/>
      <c r="K135" s="131">
        <f>I135-J135</f>
        <v>350</v>
      </c>
      <c r="L135" s="131"/>
      <c r="M135" s="131"/>
      <c r="N135" s="131"/>
      <c r="O135" s="104"/>
      <c r="P135" s="300"/>
      <c r="Q135" s="138"/>
      <c r="R135" s="139"/>
      <c r="S135" s="124"/>
      <c r="T135" s="125"/>
      <c r="U135" s="134" t="e">
        <f>G135-'[2]ДЦП Благоуст. (29.01.13 с изм.)'!$S$76-'[2]ДЦП Благоуст. (29.01.13 с изм.)'!$S$77-'[2]ДЦП Благоуст. (29.01.13 с изм.)'!$S$78-'[2]ДЦП Благоуст. (29.01.13 с изм.)'!$S$79</f>
        <v>#REF!</v>
      </c>
    </row>
    <row r="136" spans="1:20" ht="15">
      <c r="A136" s="117" t="s">
        <v>102</v>
      </c>
      <c r="B136" s="118" t="s">
        <v>103</v>
      </c>
      <c r="C136" s="119">
        <f>C137+C138+C139</f>
        <v>1996</v>
      </c>
      <c r="D136" s="119">
        <f>D137+D138+D139</f>
        <v>2000</v>
      </c>
      <c r="E136" s="120" t="s">
        <v>30</v>
      </c>
      <c r="F136" s="121">
        <f>L136+I136</f>
        <v>5922</v>
      </c>
      <c r="G136" s="121">
        <f aca="true" t="shared" si="36" ref="G136:L136">G137+G138+G139</f>
        <v>5800</v>
      </c>
      <c r="H136" s="121">
        <f t="shared" si="36"/>
        <v>5200</v>
      </c>
      <c r="I136" s="121">
        <f t="shared" si="36"/>
        <v>5922</v>
      </c>
      <c r="J136" s="121">
        <f t="shared" si="36"/>
        <v>586</v>
      </c>
      <c r="K136" s="121">
        <f t="shared" si="36"/>
        <v>5336</v>
      </c>
      <c r="L136" s="121">
        <f t="shared" si="36"/>
        <v>0</v>
      </c>
      <c r="M136" s="121"/>
      <c r="N136" s="121"/>
      <c r="O136" s="104"/>
      <c r="P136" s="300"/>
      <c r="Q136" s="122" t="s">
        <v>104</v>
      </c>
      <c r="R136" s="135">
        <f>R137+R138+R139</f>
        <v>65832</v>
      </c>
      <c r="S136" s="124"/>
      <c r="T136" s="125" t="str">
        <f>'[1]ДЦП Благоуст. (29.01.13 с изм.)'!E155</f>
        <v>2015 год</v>
      </c>
    </row>
    <row r="137" spans="1:20" ht="15">
      <c r="A137" s="137"/>
      <c r="B137" s="127"/>
      <c r="C137" s="128">
        <f>1788.3+207.7</f>
        <v>1996</v>
      </c>
      <c r="D137" s="128">
        <v>2000</v>
      </c>
      <c r="E137" s="129" t="s">
        <v>32</v>
      </c>
      <c r="F137" s="130">
        <v>1700</v>
      </c>
      <c r="G137" s="130">
        <v>2600</v>
      </c>
      <c r="H137" s="130">
        <v>2000</v>
      </c>
      <c r="I137" s="130">
        <v>2722</v>
      </c>
      <c r="J137" s="130">
        <v>586</v>
      </c>
      <c r="K137" s="130">
        <f>I137-J137</f>
        <v>2136</v>
      </c>
      <c r="L137" s="131"/>
      <c r="M137" s="131"/>
      <c r="N137" s="131"/>
      <c r="O137" s="104"/>
      <c r="P137" s="300"/>
      <c r="Q137" s="138" t="s">
        <v>104</v>
      </c>
      <c r="R137" s="139">
        <v>21944</v>
      </c>
      <c r="S137" s="124"/>
      <c r="T137" s="125"/>
    </row>
    <row r="138" spans="1:20" ht="15">
      <c r="A138" s="137"/>
      <c r="B138" s="127"/>
      <c r="C138" s="132"/>
      <c r="D138" s="132"/>
      <c r="E138" s="133" t="s">
        <v>33</v>
      </c>
      <c r="F138" s="131">
        <v>1600</v>
      </c>
      <c r="G138" s="131">
        <v>1600</v>
      </c>
      <c r="H138" s="131">
        <v>1600</v>
      </c>
      <c r="I138" s="131">
        <v>1600</v>
      </c>
      <c r="J138" s="131"/>
      <c r="K138" s="131">
        <f>I138-J138</f>
        <v>1600</v>
      </c>
      <c r="L138" s="131"/>
      <c r="M138" s="131"/>
      <c r="N138" s="131"/>
      <c r="O138" s="104"/>
      <c r="P138" s="300"/>
      <c r="Q138" s="138" t="s">
        <v>104</v>
      </c>
      <c r="R138" s="139">
        <v>21944</v>
      </c>
      <c r="S138" s="124"/>
      <c r="T138" s="125"/>
    </row>
    <row r="139" spans="1:21" ht="15">
      <c r="A139" s="137"/>
      <c r="B139" s="127"/>
      <c r="C139" s="132"/>
      <c r="D139" s="132"/>
      <c r="E139" s="133" t="s">
        <v>34</v>
      </c>
      <c r="F139" s="131">
        <v>1600</v>
      </c>
      <c r="G139" s="131">
        <v>1600</v>
      </c>
      <c r="H139" s="131">
        <v>1600</v>
      </c>
      <c r="I139" s="131">
        <v>1600</v>
      </c>
      <c r="J139" s="131"/>
      <c r="K139" s="131">
        <f>I139-J139</f>
        <v>1600</v>
      </c>
      <c r="L139" s="131"/>
      <c r="M139" s="131"/>
      <c r="N139" s="131"/>
      <c r="O139" s="104"/>
      <c r="P139" s="300"/>
      <c r="Q139" s="138" t="s">
        <v>104</v>
      </c>
      <c r="R139" s="139">
        <v>21944</v>
      </c>
      <c r="S139" s="124"/>
      <c r="T139" s="125"/>
      <c r="U139" s="134" t="e">
        <f>G139-'[2]ДЦП Благоуст. (29.01.13 с изм.)'!$S$80</f>
        <v>#REF!</v>
      </c>
    </row>
    <row r="140" spans="1:20" ht="15">
      <c r="A140" s="117" t="s">
        <v>105</v>
      </c>
      <c r="B140" s="118" t="s">
        <v>106</v>
      </c>
      <c r="C140" s="119">
        <f>C141+C142+C143</f>
        <v>495.90000000000003</v>
      </c>
      <c r="D140" s="119">
        <f>D141+D142+D143</f>
        <v>499.9</v>
      </c>
      <c r="E140" s="120" t="s">
        <v>30</v>
      </c>
      <c r="F140" s="121">
        <f>L140+I140</f>
        <v>1200</v>
      </c>
      <c r="G140" s="121">
        <f aca="true" t="shared" si="37" ref="G140:L140">G141+G142+G143</f>
        <v>1119.874</v>
      </c>
      <c r="H140" s="121">
        <f t="shared" si="37"/>
        <v>1100</v>
      </c>
      <c r="I140" s="121">
        <f t="shared" si="37"/>
        <v>1200</v>
      </c>
      <c r="J140" s="121">
        <f t="shared" si="37"/>
        <v>100</v>
      </c>
      <c r="K140" s="121">
        <f t="shared" si="37"/>
        <v>1100</v>
      </c>
      <c r="L140" s="121">
        <f t="shared" si="37"/>
        <v>0</v>
      </c>
      <c r="M140" s="121"/>
      <c r="N140" s="121"/>
      <c r="O140" s="104"/>
      <c r="P140" s="300"/>
      <c r="Q140" s="122" t="s">
        <v>61</v>
      </c>
      <c r="R140" s="135">
        <f>R141+R142+R143</f>
        <v>48</v>
      </c>
      <c r="S140" s="124"/>
      <c r="T140" s="125" t="str">
        <f>'[1]ДЦП Благоуст. (29.01.13 с изм.)'!E156</f>
        <v>2013-2015 годы</v>
      </c>
    </row>
    <row r="141" spans="1:20" ht="15">
      <c r="A141" s="137"/>
      <c r="B141" s="127"/>
      <c r="C141" s="128">
        <f>11.9+179.8+252.6+51.6</f>
        <v>495.90000000000003</v>
      </c>
      <c r="D141" s="128">
        <v>499.9</v>
      </c>
      <c r="E141" s="129" t="s">
        <v>32</v>
      </c>
      <c r="F141" s="130">
        <v>400</v>
      </c>
      <c r="G141" s="130">
        <v>519.874</v>
      </c>
      <c r="H141" s="130">
        <v>500</v>
      </c>
      <c r="I141" s="130">
        <f>700-100</f>
        <v>600</v>
      </c>
      <c r="J141" s="130">
        <v>100</v>
      </c>
      <c r="K141" s="130">
        <f>I141-J141</f>
        <v>500</v>
      </c>
      <c r="L141" s="131"/>
      <c r="M141" s="131"/>
      <c r="N141" s="131"/>
      <c r="O141" s="104"/>
      <c r="P141" s="300"/>
      <c r="Q141" s="138" t="s">
        <v>61</v>
      </c>
      <c r="R141" s="139">
        <f>6+10</f>
        <v>16</v>
      </c>
      <c r="S141" s="124"/>
      <c r="T141" s="125"/>
    </row>
    <row r="142" spans="1:20" ht="15">
      <c r="A142" s="137"/>
      <c r="B142" s="127"/>
      <c r="C142" s="132"/>
      <c r="D142" s="132"/>
      <c r="E142" s="133" t="s">
        <v>33</v>
      </c>
      <c r="F142" s="131">
        <v>300</v>
      </c>
      <c r="G142" s="131">
        <v>300</v>
      </c>
      <c r="H142" s="131">
        <v>300</v>
      </c>
      <c r="I142" s="131">
        <v>300</v>
      </c>
      <c r="J142" s="131"/>
      <c r="K142" s="131">
        <f>I142-J142</f>
        <v>300</v>
      </c>
      <c r="L142" s="131"/>
      <c r="M142" s="131"/>
      <c r="N142" s="131"/>
      <c r="O142" s="104"/>
      <c r="P142" s="300"/>
      <c r="Q142" s="138" t="s">
        <v>61</v>
      </c>
      <c r="R142" s="139">
        <f>6+10</f>
        <v>16</v>
      </c>
      <c r="S142" s="124"/>
      <c r="T142" s="125"/>
    </row>
    <row r="143" spans="1:21" ht="15">
      <c r="A143" s="137"/>
      <c r="B143" s="127"/>
      <c r="C143" s="132"/>
      <c r="D143" s="132"/>
      <c r="E143" s="133" t="s">
        <v>34</v>
      </c>
      <c r="F143" s="131">
        <v>300</v>
      </c>
      <c r="G143" s="131">
        <v>300</v>
      </c>
      <c r="H143" s="131">
        <v>300</v>
      </c>
      <c r="I143" s="131">
        <v>300</v>
      </c>
      <c r="J143" s="131"/>
      <c r="K143" s="131">
        <f>I143-J143</f>
        <v>300</v>
      </c>
      <c r="L143" s="131"/>
      <c r="M143" s="131"/>
      <c r="N143" s="131"/>
      <c r="O143" s="104"/>
      <c r="P143" s="300"/>
      <c r="Q143" s="138" t="s">
        <v>61</v>
      </c>
      <c r="R143" s="139">
        <f>6+10</f>
        <v>16</v>
      </c>
      <c r="S143" s="124"/>
      <c r="T143" s="125"/>
      <c r="U143" s="134" t="e">
        <f>G143-'[2]ДЦП Благоуст. (29.01.13 с изм.)'!$S$81</f>
        <v>#REF!</v>
      </c>
    </row>
    <row r="144" spans="1:20" ht="15">
      <c r="A144" s="117" t="s">
        <v>107</v>
      </c>
      <c r="B144" s="118" t="s">
        <v>108</v>
      </c>
      <c r="C144" s="119">
        <f>C145+C146+C147</f>
        <v>0</v>
      </c>
      <c r="D144" s="119">
        <f>D145+D146+D147</f>
        <v>555.4</v>
      </c>
      <c r="E144" s="120" t="s">
        <v>30</v>
      </c>
      <c r="F144" s="121">
        <f>L144+I144</f>
        <v>1050</v>
      </c>
      <c r="G144" s="121">
        <f aca="true" t="shared" si="38" ref="G144:L144">G145+G146+G147</f>
        <v>1300</v>
      </c>
      <c r="H144" s="121">
        <f t="shared" si="38"/>
        <v>1300</v>
      </c>
      <c r="I144" s="121">
        <f t="shared" si="38"/>
        <v>1050</v>
      </c>
      <c r="J144" s="121">
        <f t="shared" si="38"/>
        <v>150</v>
      </c>
      <c r="K144" s="121">
        <f t="shared" si="38"/>
        <v>900</v>
      </c>
      <c r="L144" s="121">
        <f t="shared" si="38"/>
        <v>0</v>
      </c>
      <c r="M144" s="121"/>
      <c r="N144" s="121"/>
      <c r="O144" s="104"/>
      <c r="P144" s="300"/>
      <c r="Q144" s="122" t="s">
        <v>61</v>
      </c>
      <c r="R144" s="135">
        <f>R145+R146+R147</f>
        <v>300</v>
      </c>
      <c r="S144" s="124"/>
      <c r="T144" s="125" t="str">
        <f>'[1]ДЦП Благоуст. (29.01.13 с изм.)'!E167</f>
        <v>2015 год</v>
      </c>
    </row>
    <row r="145" spans="1:20" ht="15">
      <c r="A145" s="137"/>
      <c r="B145" s="127"/>
      <c r="C145" s="128"/>
      <c r="D145" s="128">
        <f>499+56.4</f>
        <v>555.4</v>
      </c>
      <c r="E145" s="129" t="s">
        <v>32</v>
      </c>
      <c r="F145" s="130">
        <v>400</v>
      </c>
      <c r="G145" s="130">
        <v>500</v>
      </c>
      <c r="H145" s="130">
        <v>500</v>
      </c>
      <c r="I145" s="130">
        <f>150+100</f>
        <v>250</v>
      </c>
      <c r="J145" s="130">
        <v>150</v>
      </c>
      <c r="K145" s="130">
        <f>I145-J145</f>
        <v>100</v>
      </c>
      <c r="L145" s="131"/>
      <c r="M145" s="131"/>
      <c r="N145" s="131"/>
      <c r="O145" s="104"/>
      <c r="P145" s="300"/>
      <c r="Q145" s="138" t="s">
        <v>61</v>
      </c>
      <c r="R145" s="139">
        <v>100</v>
      </c>
      <c r="S145" s="124"/>
      <c r="T145" s="125"/>
    </row>
    <row r="146" spans="1:20" ht="15">
      <c r="A146" s="137"/>
      <c r="B146" s="127"/>
      <c r="C146" s="132"/>
      <c r="D146" s="132"/>
      <c r="E146" s="133" t="s">
        <v>33</v>
      </c>
      <c r="F146" s="131">
        <v>400</v>
      </c>
      <c r="G146" s="131">
        <v>400</v>
      </c>
      <c r="H146" s="131">
        <v>400</v>
      </c>
      <c r="I146" s="131">
        <v>400</v>
      </c>
      <c r="J146" s="131"/>
      <c r="K146" s="131">
        <f>I146-J146</f>
        <v>400</v>
      </c>
      <c r="L146" s="131"/>
      <c r="M146" s="131"/>
      <c r="N146" s="131"/>
      <c r="O146" s="104"/>
      <c r="P146" s="300"/>
      <c r="Q146" s="138" t="s">
        <v>61</v>
      </c>
      <c r="R146" s="139">
        <v>100</v>
      </c>
      <c r="S146" s="124"/>
      <c r="T146" s="125"/>
    </row>
    <row r="147" spans="1:21" ht="15">
      <c r="A147" s="137"/>
      <c r="B147" s="127"/>
      <c r="C147" s="132"/>
      <c r="D147" s="132"/>
      <c r="E147" s="133" t="s">
        <v>34</v>
      </c>
      <c r="F147" s="131">
        <v>400</v>
      </c>
      <c r="G147" s="131">
        <v>400</v>
      </c>
      <c r="H147" s="131">
        <v>400</v>
      </c>
      <c r="I147" s="131">
        <v>400</v>
      </c>
      <c r="J147" s="131"/>
      <c r="K147" s="131">
        <f>I147-J147</f>
        <v>400</v>
      </c>
      <c r="L147" s="131"/>
      <c r="M147" s="131"/>
      <c r="N147" s="131"/>
      <c r="O147" s="104"/>
      <c r="P147" s="300"/>
      <c r="Q147" s="138" t="s">
        <v>61</v>
      </c>
      <c r="R147" s="139">
        <v>100</v>
      </c>
      <c r="S147" s="124"/>
      <c r="T147" s="125"/>
      <c r="U147" s="134" t="e">
        <f>G147-'[2]ДЦП Благоуст. (29.01.13 с изм.)'!$S$86</f>
        <v>#REF!</v>
      </c>
    </row>
    <row r="148" spans="1:20" ht="15">
      <c r="A148" s="117" t="s">
        <v>109</v>
      </c>
      <c r="B148" s="118" t="s">
        <v>110</v>
      </c>
      <c r="C148" s="119">
        <f>C149+C150+C151</f>
        <v>0</v>
      </c>
      <c r="D148" s="119">
        <f>D149+D150+D151</f>
        <v>438</v>
      </c>
      <c r="E148" s="120" t="s">
        <v>30</v>
      </c>
      <c r="F148" s="121">
        <f>L148+I148</f>
        <v>890</v>
      </c>
      <c r="G148" s="121">
        <f aca="true" t="shared" si="39" ref="G148:L148">G149+G150+G151</f>
        <v>1100</v>
      </c>
      <c r="H148" s="121">
        <f t="shared" si="39"/>
        <v>1000</v>
      </c>
      <c r="I148" s="121">
        <f t="shared" si="39"/>
        <v>890</v>
      </c>
      <c r="J148" s="121">
        <f t="shared" si="39"/>
        <v>290</v>
      </c>
      <c r="K148" s="121">
        <f t="shared" si="39"/>
        <v>600</v>
      </c>
      <c r="L148" s="121">
        <f t="shared" si="39"/>
        <v>0</v>
      </c>
      <c r="M148" s="121"/>
      <c r="N148" s="121"/>
      <c r="O148" s="104"/>
      <c r="P148" s="300"/>
      <c r="Q148" s="122" t="s">
        <v>61</v>
      </c>
      <c r="R148" s="135">
        <v>2</v>
      </c>
      <c r="S148" s="124"/>
      <c r="T148" s="125" t="str">
        <f>'[1]ДЦП Благоуст. (29.01.13 с изм.)'!E169</f>
        <v>2013 год</v>
      </c>
    </row>
    <row r="149" spans="1:20" ht="15">
      <c r="A149" s="137"/>
      <c r="B149" s="127"/>
      <c r="C149" s="128"/>
      <c r="D149" s="128">
        <f>438</f>
        <v>438</v>
      </c>
      <c r="E149" s="129" t="s">
        <v>32</v>
      </c>
      <c r="F149" s="130">
        <v>300</v>
      </c>
      <c r="G149" s="130">
        <v>500</v>
      </c>
      <c r="H149" s="130">
        <v>400</v>
      </c>
      <c r="I149" s="130">
        <v>290</v>
      </c>
      <c r="J149" s="130">
        <v>290</v>
      </c>
      <c r="K149" s="130">
        <f>I149-J149</f>
        <v>0</v>
      </c>
      <c r="L149" s="131"/>
      <c r="M149" s="131"/>
      <c r="N149" s="131"/>
      <c r="O149" s="104"/>
      <c r="P149" s="300"/>
      <c r="Q149" s="138" t="s">
        <v>61</v>
      </c>
      <c r="R149" s="139">
        <v>2</v>
      </c>
      <c r="S149" s="124"/>
      <c r="T149" s="125"/>
    </row>
    <row r="150" spans="1:20" ht="15">
      <c r="A150" s="137"/>
      <c r="B150" s="127"/>
      <c r="C150" s="132"/>
      <c r="D150" s="132"/>
      <c r="E150" s="133" t="s">
        <v>33</v>
      </c>
      <c r="F150" s="131">
        <v>300</v>
      </c>
      <c r="G150" s="131">
        <v>300</v>
      </c>
      <c r="H150" s="131">
        <v>300</v>
      </c>
      <c r="I150" s="131">
        <v>300</v>
      </c>
      <c r="J150" s="131"/>
      <c r="K150" s="131">
        <f>I150-J150</f>
        <v>300</v>
      </c>
      <c r="L150" s="131"/>
      <c r="M150" s="131"/>
      <c r="N150" s="131"/>
      <c r="O150" s="104"/>
      <c r="P150" s="300"/>
      <c r="Q150" s="138" t="s">
        <v>61</v>
      </c>
      <c r="R150" s="139">
        <v>2</v>
      </c>
      <c r="S150" s="124"/>
      <c r="T150" s="125"/>
    </row>
    <row r="151" spans="1:21" ht="15">
      <c r="A151" s="137"/>
      <c r="B151" s="127"/>
      <c r="C151" s="132"/>
      <c r="D151" s="132"/>
      <c r="E151" s="133" t="s">
        <v>34</v>
      </c>
      <c r="F151" s="131">
        <v>300</v>
      </c>
      <c r="G151" s="131">
        <v>300</v>
      </c>
      <c r="H151" s="131">
        <v>300</v>
      </c>
      <c r="I151" s="131">
        <v>300</v>
      </c>
      <c r="J151" s="131"/>
      <c r="K151" s="131">
        <f>I151-J151</f>
        <v>300</v>
      </c>
      <c r="L151" s="131"/>
      <c r="M151" s="131"/>
      <c r="N151" s="131"/>
      <c r="O151" s="104"/>
      <c r="P151" s="300"/>
      <c r="Q151" s="138" t="s">
        <v>61</v>
      </c>
      <c r="R151" s="139">
        <v>2</v>
      </c>
      <c r="S151" s="124"/>
      <c r="T151" s="125"/>
      <c r="U151" s="134" t="e">
        <f>G151-'[2]ДЦП Благоуст. (29.01.13 с изм.)'!$S$87</f>
        <v>#REF!</v>
      </c>
    </row>
    <row r="152" spans="1:20" ht="15">
      <c r="A152" s="117" t="s">
        <v>111</v>
      </c>
      <c r="B152" s="118" t="s">
        <v>112</v>
      </c>
      <c r="C152" s="119">
        <f>C153+C154+C155</f>
        <v>0</v>
      </c>
      <c r="D152" s="119">
        <f>D153+D154+D155</f>
        <v>389.5</v>
      </c>
      <c r="E152" s="120" t="s">
        <v>30</v>
      </c>
      <c r="F152" s="121">
        <f>L152+I152</f>
        <v>400</v>
      </c>
      <c r="G152" s="121">
        <f aca="true" t="shared" si="40" ref="G152:L152">G153+G154+G155</f>
        <v>700</v>
      </c>
      <c r="H152" s="121">
        <f t="shared" si="40"/>
        <v>700</v>
      </c>
      <c r="I152" s="121">
        <f t="shared" si="40"/>
        <v>400</v>
      </c>
      <c r="J152" s="121">
        <f t="shared" si="40"/>
        <v>0</v>
      </c>
      <c r="K152" s="121">
        <f t="shared" si="40"/>
        <v>400</v>
      </c>
      <c r="L152" s="121">
        <f t="shared" si="40"/>
        <v>0</v>
      </c>
      <c r="M152" s="121"/>
      <c r="N152" s="121"/>
      <c r="O152" s="104"/>
      <c r="P152" s="300"/>
      <c r="Q152" s="122" t="s">
        <v>61</v>
      </c>
      <c r="R152" s="135">
        <v>2</v>
      </c>
      <c r="S152" s="124"/>
      <c r="T152" s="125" t="str">
        <f>'[1]ДЦП Благоуст. (29.01.13 с изм.)'!E189</f>
        <v>2013 год</v>
      </c>
    </row>
    <row r="153" spans="1:20" ht="15">
      <c r="A153" s="137"/>
      <c r="B153" s="127"/>
      <c r="C153" s="128"/>
      <c r="D153" s="128">
        <v>389.5</v>
      </c>
      <c r="E153" s="129" t="s">
        <v>32</v>
      </c>
      <c r="F153" s="130">
        <v>200</v>
      </c>
      <c r="G153" s="130">
        <v>400</v>
      </c>
      <c r="H153" s="130">
        <v>400</v>
      </c>
      <c r="I153" s="130">
        <v>100</v>
      </c>
      <c r="J153" s="130"/>
      <c r="K153" s="130">
        <f>I153-J153</f>
        <v>100</v>
      </c>
      <c r="L153" s="131"/>
      <c r="M153" s="131"/>
      <c r="N153" s="131"/>
      <c r="O153" s="104"/>
      <c r="P153" s="300"/>
      <c r="Q153" s="138" t="s">
        <v>61</v>
      </c>
      <c r="R153" s="139">
        <v>2</v>
      </c>
      <c r="S153" s="124"/>
      <c r="T153" s="125"/>
    </row>
    <row r="154" spans="1:20" ht="15">
      <c r="A154" s="137"/>
      <c r="B154" s="127"/>
      <c r="C154" s="132"/>
      <c r="D154" s="132"/>
      <c r="E154" s="133" t="s">
        <v>33</v>
      </c>
      <c r="F154" s="131">
        <v>150</v>
      </c>
      <c r="G154" s="131">
        <v>150</v>
      </c>
      <c r="H154" s="131">
        <v>150</v>
      </c>
      <c r="I154" s="131">
        <v>150</v>
      </c>
      <c r="J154" s="131"/>
      <c r="K154" s="131">
        <f>I154-J154</f>
        <v>150</v>
      </c>
      <c r="L154" s="131"/>
      <c r="M154" s="131"/>
      <c r="N154" s="131"/>
      <c r="O154" s="104"/>
      <c r="P154" s="300"/>
      <c r="Q154" s="138" t="s">
        <v>61</v>
      </c>
      <c r="R154" s="139">
        <v>2</v>
      </c>
      <c r="S154" s="124"/>
      <c r="T154" s="125"/>
    </row>
    <row r="155" spans="1:21" ht="15">
      <c r="A155" s="137"/>
      <c r="B155" s="127"/>
      <c r="C155" s="132"/>
      <c r="D155" s="132"/>
      <c r="E155" s="133" t="s">
        <v>34</v>
      </c>
      <c r="F155" s="131">
        <v>150</v>
      </c>
      <c r="G155" s="131">
        <v>150</v>
      </c>
      <c r="H155" s="131">
        <v>150</v>
      </c>
      <c r="I155" s="131">
        <v>150</v>
      </c>
      <c r="J155" s="131"/>
      <c r="K155" s="131">
        <f>I155-J155</f>
        <v>150</v>
      </c>
      <c r="L155" s="131"/>
      <c r="M155" s="131"/>
      <c r="N155" s="131"/>
      <c r="O155" s="104"/>
      <c r="P155" s="300"/>
      <c r="Q155" s="138" t="s">
        <v>61</v>
      </c>
      <c r="R155" s="139">
        <v>2</v>
      </c>
      <c r="S155" s="124"/>
      <c r="T155" s="125"/>
      <c r="U155" s="134" t="e">
        <f>G155-'[2]ДЦП Благоуст. (29.01.13 с изм.)'!$S$89</f>
        <v>#REF!</v>
      </c>
    </row>
    <row r="156" spans="1:20" ht="15">
      <c r="A156" s="117" t="s">
        <v>113</v>
      </c>
      <c r="B156" s="118" t="s">
        <v>114</v>
      </c>
      <c r="C156" s="119">
        <f>C157+C158+C159</f>
        <v>0</v>
      </c>
      <c r="D156" s="119">
        <f>D157+D158+D159</f>
        <v>236.3</v>
      </c>
      <c r="E156" s="120" t="s">
        <v>30</v>
      </c>
      <c r="F156" s="121">
        <f>L156+I156</f>
        <v>417</v>
      </c>
      <c r="G156" s="121">
        <f aca="true" t="shared" si="41" ref="G156:L156">G157+G158+G159</f>
        <v>800</v>
      </c>
      <c r="H156" s="121">
        <f t="shared" si="41"/>
        <v>700</v>
      </c>
      <c r="I156" s="121">
        <f t="shared" si="41"/>
        <v>417</v>
      </c>
      <c r="J156" s="121">
        <f t="shared" si="41"/>
        <v>117</v>
      </c>
      <c r="K156" s="121">
        <f t="shared" si="41"/>
        <v>300</v>
      </c>
      <c r="L156" s="121">
        <f t="shared" si="41"/>
        <v>0</v>
      </c>
      <c r="M156" s="121"/>
      <c r="N156" s="121"/>
      <c r="O156" s="104"/>
      <c r="P156" s="300"/>
      <c r="Q156" s="122" t="s">
        <v>61</v>
      </c>
      <c r="R156" s="135">
        <v>5</v>
      </c>
      <c r="S156" s="124"/>
      <c r="T156" s="125" t="str">
        <f>'[1]ДЦП Благоуст. (29.01.13 с изм.)'!E171</f>
        <v>2015 год</v>
      </c>
    </row>
    <row r="157" spans="1:20" ht="15">
      <c r="A157" s="137"/>
      <c r="B157" s="127"/>
      <c r="C157" s="128"/>
      <c r="D157" s="128">
        <f>236.3</f>
        <v>236.3</v>
      </c>
      <c r="E157" s="129" t="s">
        <v>32</v>
      </c>
      <c r="F157" s="130">
        <v>200</v>
      </c>
      <c r="G157" s="130">
        <v>500</v>
      </c>
      <c r="H157" s="130">
        <v>400</v>
      </c>
      <c r="I157" s="130">
        <v>117</v>
      </c>
      <c r="J157" s="130">
        <v>117</v>
      </c>
      <c r="K157" s="130">
        <f>I157-J157</f>
        <v>0</v>
      </c>
      <c r="L157" s="131"/>
      <c r="M157" s="131"/>
      <c r="N157" s="131"/>
      <c r="O157" s="104"/>
      <c r="P157" s="300"/>
      <c r="Q157" s="138" t="s">
        <v>61</v>
      </c>
      <c r="R157" s="139">
        <v>5</v>
      </c>
      <c r="S157" s="124"/>
      <c r="T157" s="125"/>
    </row>
    <row r="158" spans="1:20" ht="15">
      <c r="A158" s="137"/>
      <c r="B158" s="127"/>
      <c r="C158" s="132"/>
      <c r="D158" s="132"/>
      <c r="E158" s="133" t="s">
        <v>33</v>
      </c>
      <c r="F158" s="131">
        <v>150</v>
      </c>
      <c r="G158" s="131">
        <v>150</v>
      </c>
      <c r="H158" s="131">
        <v>150</v>
      </c>
      <c r="I158" s="131">
        <v>150</v>
      </c>
      <c r="J158" s="131"/>
      <c r="K158" s="131">
        <f>I158-J158</f>
        <v>150</v>
      </c>
      <c r="L158" s="131"/>
      <c r="M158" s="131"/>
      <c r="N158" s="131"/>
      <c r="O158" s="104"/>
      <c r="P158" s="300"/>
      <c r="Q158" s="138" t="s">
        <v>61</v>
      </c>
      <c r="R158" s="139">
        <v>5</v>
      </c>
      <c r="S158" s="124"/>
      <c r="T158" s="125"/>
    </row>
    <row r="159" spans="1:21" ht="15">
      <c r="A159" s="137"/>
      <c r="B159" s="127"/>
      <c r="C159" s="132"/>
      <c r="D159" s="132"/>
      <c r="E159" s="133" t="s">
        <v>34</v>
      </c>
      <c r="F159" s="131">
        <v>150</v>
      </c>
      <c r="G159" s="131">
        <v>150</v>
      </c>
      <c r="H159" s="131">
        <v>150</v>
      </c>
      <c r="I159" s="131">
        <v>150</v>
      </c>
      <c r="J159" s="131"/>
      <c r="K159" s="131">
        <f>I159-J159</f>
        <v>150</v>
      </c>
      <c r="L159" s="131"/>
      <c r="M159" s="131"/>
      <c r="N159" s="131"/>
      <c r="O159" s="104"/>
      <c r="P159" s="300"/>
      <c r="Q159" s="138" t="s">
        <v>61</v>
      </c>
      <c r="R159" s="139">
        <v>5</v>
      </c>
      <c r="S159" s="124"/>
      <c r="T159" s="125"/>
      <c r="U159" s="134">
        <f>G159-'[2]ДЦП Благоуст. (29.01.13 с изм.)'!$S$91</f>
        <v>-9850</v>
      </c>
    </row>
    <row r="160" spans="1:20" ht="30">
      <c r="A160" s="117" t="s">
        <v>115</v>
      </c>
      <c r="B160" s="118" t="s">
        <v>116</v>
      </c>
      <c r="C160" s="119">
        <f>C161+C162+C163</f>
        <v>4321.1</v>
      </c>
      <c r="D160" s="119">
        <f>D161+D162+D163</f>
        <v>3935.7</v>
      </c>
      <c r="E160" s="120" t="s">
        <v>30</v>
      </c>
      <c r="F160" s="121">
        <f>L160+I160</f>
        <v>13962</v>
      </c>
      <c r="G160" s="121">
        <f aca="true" t="shared" si="42" ref="G160:L160">G161+G162+G163</f>
        <v>10293.09</v>
      </c>
      <c r="H160" s="121">
        <f t="shared" si="42"/>
        <v>10200</v>
      </c>
      <c r="I160" s="121">
        <f t="shared" si="42"/>
        <v>13962</v>
      </c>
      <c r="J160" s="121">
        <f t="shared" si="42"/>
        <v>6172</v>
      </c>
      <c r="K160" s="121">
        <f t="shared" si="42"/>
        <v>7790</v>
      </c>
      <c r="L160" s="121">
        <f t="shared" si="42"/>
        <v>0</v>
      </c>
      <c r="M160" s="121"/>
      <c r="N160" s="121"/>
      <c r="O160" s="104"/>
      <c r="P160" s="300"/>
      <c r="Q160" s="122" t="s">
        <v>117</v>
      </c>
      <c r="R160" s="123">
        <v>258.1</v>
      </c>
      <c r="S160" s="124"/>
      <c r="T160" s="125" t="str">
        <f>'[1]ДЦП Благоуст. (29.01.13 с изм.)'!E180</f>
        <v>2013-2015 годы</v>
      </c>
    </row>
    <row r="161" spans="1:20" ht="15">
      <c r="A161" s="137"/>
      <c r="B161" s="127"/>
      <c r="C161" s="128">
        <f>2254.1+2067</f>
        <v>4321.1</v>
      </c>
      <c r="D161" s="128">
        <v>3935.7</v>
      </c>
      <c r="E161" s="129" t="s">
        <v>32</v>
      </c>
      <c r="F161" s="130">
        <v>3500</v>
      </c>
      <c r="G161" s="130">
        <v>4093.09</v>
      </c>
      <c r="H161" s="130">
        <v>4000</v>
      </c>
      <c r="I161" s="130">
        <f>6172+2500-910</f>
        <v>7762</v>
      </c>
      <c r="J161" s="130">
        <v>6172</v>
      </c>
      <c r="K161" s="130">
        <f>I161-J161</f>
        <v>1590</v>
      </c>
      <c r="L161" s="131"/>
      <c r="M161" s="131"/>
      <c r="N161" s="131"/>
      <c r="O161" s="104"/>
      <c r="P161" s="300"/>
      <c r="Q161" s="138" t="s">
        <v>117</v>
      </c>
      <c r="R161" s="215">
        <v>258.1</v>
      </c>
      <c r="S161" s="124"/>
      <c r="T161" s="125"/>
    </row>
    <row r="162" spans="1:20" ht="15">
      <c r="A162" s="137"/>
      <c r="B162" s="127"/>
      <c r="C162" s="132"/>
      <c r="D162" s="132"/>
      <c r="E162" s="133" t="s">
        <v>33</v>
      </c>
      <c r="F162" s="131">
        <v>3100</v>
      </c>
      <c r="G162" s="131">
        <v>3100</v>
      </c>
      <c r="H162" s="131">
        <v>3100</v>
      </c>
      <c r="I162" s="131">
        <v>3100</v>
      </c>
      <c r="J162" s="131"/>
      <c r="K162" s="131">
        <f>I162-J162</f>
        <v>3100</v>
      </c>
      <c r="L162" s="131"/>
      <c r="M162" s="131"/>
      <c r="N162" s="131"/>
      <c r="O162" s="104"/>
      <c r="P162" s="300"/>
      <c r="Q162" s="138" t="s">
        <v>117</v>
      </c>
      <c r="R162" s="215">
        <v>258.1</v>
      </c>
      <c r="S162" s="124"/>
      <c r="T162" s="125"/>
    </row>
    <row r="163" spans="1:20" ht="15">
      <c r="A163" s="137"/>
      <c r="B163" s="127"/>
      <c r="C163" s="132"/>
      <c r="D163" s="132"/>
      <c r="E163" s="133" t="s">
        <v>34</v>
      </c>
      <c r="F163" s="131">
        <v>3100</v>
      </c>
      <c r="G163" s="131">
        <v>3100</v>
      </c>
      <c r="H163" s="131">
        <v>3100</v>
      </c>
      <c r="I163" s="131">
        <v>3100</v>
      </c>
      <c r="J163" s="131"/>
      <c r="K163" s="131">
        <f>I163-J163</f>
        <v>3100</v>
      </c>
      <c r="L163" s="131"/>
      <c r="M163" s="131"/>
      <c r="N163" s="131"/>
      <c r="O163" s="104"/>
      <c r="P163" s="300"/>
      <c r="Q163" s="138" t="s">
        <v>117</v>
      </c>
      <c r="R163" s="215">
        <v>258.1</v>
      </c>
      <c r="S163" s="124"/>
      <c r="T163" s="125"/>
    </row>
    <row r="164" spans="1:20" ht="15">
      <c r="A164" s="117" t="s">
        <v>118</v>
      </c>
      <c r="B164" s="118" t="s">
        <v>119</v>
      </c>
      <c r="C164" s="119">
        <f>C165+C166+C167</f>
        <v>0</v>
      </c>
      <c r="D164" s="119">
        <f>D165+D166+D167</f>
        <v>4841.8</v>
      </c>
      <c r="E164" s="120" t="s">
        <v>30</v>
      </c>
      <c r="F164" s="216">
        <f aca="true" t="shared" si="43" ref="F164:L164">F165+F166+F167</f>
        <v>4270</v>
      </c>
      <c r="G164" s="216">
        <f t="shared" si="43"/>
        <v>11430.5</v>
      </c>
      <c r="H164" s="217">
        <f t="shared" si="43"/>
        <v>11450</v>
      </c>
      <c r="I164" s="217">
        <f t="shared" si="43"/>
        <v>3000</v>
      </c>
      <c r="J164" s="217">
        <f t="shared" si="43"/>
        <v>0</v>
      </c>
      <c r="K164" s="217">
        <f t="shared" si="43"/>
        <v>3000</v>
      </c>
      <c r="L164" s="218">
        <f t="shared" si="43"/>
        <v>0</v>
      </c>
      <c r="M164" s="218"/>
      <c r="N164" s="218"/>
      <c r="O164" s="104"/>
      <c r="P164" s="300"/>
      <c r="Q164" s="219" t="s">
        <v>120</v>
      </c>
      <c r="R164" s="220">
        <f>R165+R166+R167</f>
        <v>18</v>
      </c>
      <c r="S164" s="124"/>
      <c r="T164" s="125" t="str">
        <f>'[1]ДЦП Благоуст. (29.01.13 с изм.)'!E150</f>
        <v>2014 год</v>
      </c>
    </row>
    <row r="165" spans="1:20" ht="15" outlineLevel="1">
      <c r="A165" s="188"/>
      <c r="B165" s="127"/>
      <c r="C165" s="128"/>
      <c r="D165" s="128">
        <f>4841.8</f>
        <v>4841.8</v>
      </c>
      <c r="E165" s="129" t="s">
        <v>32</v>
      </c>
      <c r="F165" s="221">
        <v>1270</v>
      </c>
      <c r="G165" s="130">
        <v>8430.5</v>
      </c>
      <c r="H165" s="130">
        <v>8450</v>
      </c>
      <c r="I165" s="221"/>
      <c r="J165" s="130"/>
      <c r="K165" s="130">
        <f>I165-J165</f>
        <v>0</v>
      </c>
      <c r="L165" s="131"/>
      <c r="M165" s="131"/>
      <c r="N165" s="131"/>
      <c r="O165" s="104"/>
      <c r="P165" s="300"/>
      <c r="Q165" s="138" t="s">
        <v>120</v>
      </c>
      <c r="R165" s="139">
        <v>4</v>
      </c>
      <c r="S165" s="191">
        <v>8430503</v>
      </c>
      <c r="T165" s="125"/>
    </row>
    <row r="166" spans="1:20" ht="15" outlineLevel="1">
      <c r="A166" s="188"/>
      <c r="B166" s="127"/>
      <c r="C166" s="132"/>
      <c r="D166" s="132"/>
      <c r="E166" s="133" t="s">
        <v>33</v>
      </c>
      <c r="F166" s="131">
        <v>1500</v>
      </c>
      <c r="G166" s="131">
        <v>1500</v>
      </c>
      <c r="H166" s="131">
        <v>1500</v>
      </c>
      <c r="I166" s="131">
        <v>1500</v>
      </c>
      <c r="J166" s="131"/>
      <c r="K166" s="131">
        <f>I166-J166</f>
        <v>1500</v>
      </c>
      <c r="L166" s="131"/>
      <c r="M166" s="131"/>
      <c r="N166" s="131"/>
      <c r="O166" s="104"/>
      <c r="P166" s="300"/>
      <c r="Q166" s="138" t="s">
        <v>120</v>
      </c>
      <c r="R166" s="139">
        <v>5</v>
      </c>
      <c r="S166" s="191">
        <v>34500000</v>
      </c>
      <c r="T166" s="125"/>
    </row>
    <row r="167" spans="1:21" ht="15" outlineLevel="1">
      <c r="A167" s="188"/>
      <c r="B167" s="127"/>
      <c r="C167" s="127"/>
      <c r="D167" s="127"/>
      <c r="E167" s="133" t="s">
        <v>34</v>
      </c>
      <c r="F167" s="131">
        <v>1500</v>
      </c>
      <c r="G167" s="131">
        <v>1500</v>
      </c>
      <c r="H167" s="131">
        <v>1500</v>
      </c>
      <c r="I167" s="131">
        <v>1500</v>
      </c>
      <c r="J167" s="131"/>
      <c r="K167" s="131">
        <f>I167-J167</f>
        <v>1500</v>
      </c>
      <c r="L167" s="131"/>
      <c r="M167" s="131"/>
      <c r="N167" s="131"/>
      <c r="O167" s="104"/>
      <c r="P167" s="300"/>
      <c r="Q167" s="138" t="s">
        <v>120</v>
      </c>
      <c r="R167" s="139">
        <v>9</v>
      </c>
      <c r="S167" s="191">
        <v>17250000</v>
      </c>
      <c r="T167" s="125"/>
      <c r="U167" s="134" t="e">
        <f>G167-'[2]ДЦП Благоуст. (29.01.13 с изм.)'!$S$95</f>
        <v>#REF!</v>
      </c>
    </row>
    <row r="168" spans="1:20" ht="15">
      <c r="A168" s="117" t="s">
        <v>121</v>
      </c>
      <c r="B168" s="118" t="s">
        <v>181</v>
      </c>
      <c r="C168" s="119">
        <f>C169+C170+C171</f>
        <v>0</v>
      </c>
      <c r="D168" s="119">
        <f>D169+D170+D171</f>
        <v>363.5</v>
      </c>
      <c r="E168" s="120" t="s">
        <v>30</v>
      </c>
      <c r="F168" s="121">
        <f>L168+I168</f>
        <v>970</v>
      </c>
      <c r="G168" s="121">
        <f aca="true" t="shared" si="44" ref="G168:L168">G169+G170+G171</f>
        <v>1000</v>
      </c>
      <c r="H168" s="121">
        <f t="shared" si="44"/>
        <v>1000</v>
      </c>
      <c r="I168" s="121">
        <f t="shared" si="44"/>
        <v>970</v>
      </c>
      <c r="J168" s="121">
        <f t="shared" si="44"/>
        <v>254</v>
      </c>
      <c r="K168" s="121">
        <f t="shared" si="44"/>
        <v>716</v>
      </c>
      <c r="L168" s="121">
        <f t="shared" si="44"/>
        <v>0</v>
      </c>
      <c r="M168" s="121"/>
      <c r="N168" s="121"/>
      <c r="O168" s="104"/>
      <c r="P168" s="300"/>
      <c r="Q168" s="122" t="s">
        <v>93</v>
      </c>
      <c r="R168" s="135">
        <f>1275.8+10706+417</f>
        <v>12398.8</v>
      </c>
      <c r="S168" s="124"/>
      <c r="T168" s="125" t="str">
        <f>'[1]ДЦП Благоуст. (29.01.13 с изм.)'!E188</f>
        <v>2013-2015 годы</v>
      </c>
    </row>
    <row r="169" spans="1:20" ht="15">
      <c r="A169" s="137"/>
      <c r="B169" s="127"/>
      <c r="C169" s="128"/>
      <c r="D169" s="128">
        <f>96.7+83.4+83.4+100</f>
        <v>363.5</v>
      </c>
      <c r="E169" s="129" t="s">
        <v>32</v>
      </c>
      <c r="F169" s="130">
        <v>370</v>
      </c>
      <c r="G169" s="130">
        <v>400</v>
      </c>
      <c r="H169" s="130">
        <v>400</v>
      </c>
      <c r="I169" s="130">
        <v>370</v>
      </c>
      <c r="J169" s="130">
        <v>254</v>
      </c>
      <c r="K169" s="130">
        <f>I169-J169</f>
        <v>116</v>
      </c>
      <c r="L169" s="131"/>
      <c r="M169" s="131"/>
      <c r="N169" s="131"/>
      <c r="O169" s="104"/>
      <c r="P169" s="300"/>
      <c r="Q169" s="138" t="s">
        <v>93</v>
      </c>
      <c r="R169" s="139">
        <f>1275.8+10706+417</f>
        <v>12398.8</v>
      </c>
      <c r="S169" s="124"/>
      <c r="T169" s="125"/>
    </row>
    <row r="170" spans="1:20" ht="15">
      <c r="A170" s="137"/>
      <c r="B170" s="127"/>
      <c r="C170" s="132"/>
      <c r="D170" s="132"/>
      <c r="E170" s="133" t="s">
        <v>33</v>
      </c>
      <c r="F170" s="131">
        <v>300</v>
      </c>
      <c r="G170" s="131">
        <v>300</v>
      </c>
      <c r="H170" s="131">
        <v>300</v>
      </c>
      <c r="I170" s="131">
        <v>300</v>
      </c>
      <c r="J170" s="131"/>
      <c r="K170" s="131">
        <f>I170-J170</f>
        <v>300</v>
      </c>
      <c r="L170" s="131"/>
      <c r="M170" s="131"/>
      <c r="N170" s="131"/>
      <c r="O170" s="104"/>
      <c r="P170" s="300"/>
      <c r="Q170" s="138" t="s">
        <v>93</v>
      </c>
      <c r="R170" s="139">
        <f>1275.8+10706+417</f>
        <v>12398.8</v>
      </c>
      <c r="S170" s="124"/>
      <c r="T170" s="125"/>
    </row>
    <row r="171" spans="1:21" ht="15">
      <c r="A171" s="137"/>
      <c r="B171" s="127"/>
      <c r="C171" s="132"/>
      <c r="D171" s="132"/>
      <c r="E171" s="133" t="s">
        <v>34</v>
      </c>
      <c r="F171" s="131">
        <v>300</v>
      </c>
      <c r="G171" s="131">
        <v>300</v>
      </c>
      <c r="H171" s="131">
        <v>300</v>
      </c>
      <c r="I171" s="131">
        <v>300</v>
      </c>
      <c r="J171" s="131"/>
      <c r="K171" s="131">
        <f>I171-J171</f>
        <v>300</v>
      </c>
      <c r="L171" s="131"/>
      <c r="M171" s="131"/>
      <c r="N171" s="131"/>
      <c r="O171" s="104"/>
      <c r="P171" s="300"/>
      <c r="Q171" s="138" t="s">
        <v>93</v>
      </c>
      <c r="R171" s="139">
        <f>1275.8+10706+417</f>
        <v>12398.8</v>
      </c>
      <c r="S171" s="124"/>
      <c r="T171" s="125"/>
      <c r="U171" s="134" t="e">
        <f>G171-'[2]ДЦП Благоуст. (29.01.13 с изм.)'!$S$129</f>
        <v>#REF!</v>
      </c>
    </row>
    <row r="172" spans="1:20" ht="15">
      <c r="A172" s="117" t="s">
        <v>122</v>
      </c>
      <c r="B172" s="118" t="s">
        <v>123</v>
      </c>
      <c r="C172" s="119">
        <f>C173+C174+C175</f>
        <v>100</v>
      </c>
      <c r="D172" s="119">
        <f>D173+D174+D175</f>
        <v>0</v>
      </c>
      <c r="E172" s="120" t="s">
        <v>30</v>
      </c>
      <c r="F172" s="121">
        <f aca="true" t="shared" si="45" ref="F172:I184">L172+I172</f>
        <v>0</v>
      </c>
      <c r="G172" s="121">
        <f>G173+G174+G175</f>
        <v>500</v>
      </c>
      <c r="H172" s="121">
        <f>H173+H174+H175</f>
        <v>500</v>
      </c>
      <c r="I172" s="121">
        <f>I173+I174+I175</f>
        <v>0</v>
      </c>
      <c r="J172" s="121"/>
      <c r="K172" s="121">
        <f>K173+K174+K175</f>
        <v>0</v>
      </c>
      <c r="L172" s="121">
        <f>L173+L174+L175</f>
        <v>0</v>
      </c>
      <c r="M172" s="121"/>
      <c r="N172" s="121"/>
      <c r="O172" s="104"/>
      <c r="P172" s="300"/>
      <c r="Q172" s="122" t="s">
        <v>124</v>
      </c>
      <c r="R172" s="135">
        <f>R173+R174+R175</f>
        <v>17</v>
      </c>
      <c r="S172" s="124"/>
      <c r="T172" s="125" t="str">
        <f>'[1]ДЦП Благоуст. (29.01.13 с изм.)'!E198</f>
        <v>2014 год</v>
      </c>
    </row>
    <row r="173" spans="1:20" ht="15" outlineLevel="1">
      <c r="A173" s="188"/>
      <c r="B173" s="127"/>
      <c r="C173" s="128">
        <f>100</f>
        <v>100</v>
      </c>
      <c r="D173" s="128"/>
      <c r="E173" s="129" t="s">
        <v>32</v>
      </c>
      <c r="F173" s="130">
        <f t="shared" si="45"/>
        <v>0</v>
      </c>
      <c r="G173" s="130">
        <v>500</v>
      </c>
      <c r="H173" s="130">
        <v>500</v>
      </c>
      <c r="I173" s="130"/>
      <c r="J173" s="130"/>
      <c r="K173" s="130">
        <f>I173-J173</f>
        <v>0</v>
      </c>
      <c r="L173" s="131"/>
      <c r="M173" s="131"/>
      <c r="N173" s="131"/>
      <c r="O173" s="104"/>
      <c r="P173" s="300"/>
      <c r="Q173" s="138" t="s">
        <v>124</v>
      </c>
      <c r="R173" s="139">
        <v>4</v>
      </c>
      <c r="S173" s="191">
        <v>500000</v>
      </c>
      <c r="T173" s="125"/>
    </row>
    <row r="174" spans="1:20" ht="15" outlineLevel="1">
      <c r="A174" s="188"/>
      <c r="B174" s="127"/>
      <c r="C174" s="127"/>
      <c r="D174" s="127"/>
      <c r="E174" s="133" t="s">
        <v>33</v>
      </c>
      <c r="F174" s="131">
        <f t="shared" si="45"/>
        <v>0</v>
      </c>
      <c r="G174" s="131">
        <f t="shared" si="45"/>
        <v>0</v>
      </c>
      <c r="H174" s="131">
        <f t="shared" si="45"/>
        <v>0</v>
      </c>
      <c r="I174" s="131">
        <f t="shared" si="45"/>
        <v>0</v>
      </c>
      <c r="J174" s="131"/>
      <c r="K174" s="131">
        <f>I174-J174</f>
        <v>0</v>
      </c>
      <c r="L174" s="131"/>
      <c r="M174" s="131"/>
      <c r="N174" s="131"/>
      <c r="O174" s="104"/>
      <c r="P174" s="300"/>
      <c r="Q174" s="138" t="s">
        <v>124</v>
      </c>
      <c r="R174" s="139">
        <v>6</v>
      </c>
      <c r="S174" s="191">
        <v>700000</v>
      </c>
      <c r="T174" s="125"/>
    </row>
    <row r="175" spans="1:21" ht="15" outlineLevel="1">
      <c r="A175" s="188"/>
      <c r="B175" s="127"/>
      <c r="C175" s="127"/>
      <c r="D175" s="127"/>
      <c r="E175" s="133" t="s">
        <v>34</v>
      </c>
      <c r="F175" s="131">
        <f t="shared" si="45"/>
        <v>0</v>
      </c>
      <c r="G175" s="131">
        <f t="shared" si="45"/>
        <v>0</v>
      </c>
      <c r="H175" s="131">
        <f t="shared" si="45"/>
        <v>0</v>
      </c>
      <c r="I175" s="131">
        <f t="shared" si="45"/>
        <v>0</v>
      </c>
      <c r="J175" s="131"/>
      <c r="K175" s="131">
        <f>I175-J175</f>
        <v>0</v>
      </c>
      <c r="L175" s="131"/>
      <c r="M175" s="131"/>
      <c r="N175" s="131"/>
      <c r="O175" s="104"/>
      <c r="P175" s="300"/>
      <c r="Q175" s="138" t="s">
        <v>124</v>
      </c>
      <c r="R175" s="139">
        <v>7</v>
      </c>
      <c r="S175" s="191">
        <v>1000000</v>
      </c>
      <c r="T175" s="125"/>
      <c r="U175" s="134" t="e">
        <f>G175-'[2]ДЦП Благоуст. (29.01.13 с изм.)'!$S$137</f>
        <v>#REF!</v>
      </c>
    </row>
    <row r="176" spans="1:20" ht="15">
      <c r="A176" s="117" t="s">
        <v>125</v>
      </c>
      <c r="B176" s="118" t="s">
        <v>182</v>
      </c>
      <c r="C176" s="119">
        <f>C177+C178+C179</f>
        <v>0</v>
      </c>
      <c r="D176" s="119">
        <f>D177+D178+D179</f>
        <v>0</v>
      </c>
      <c r="E176" s="120" t="s">
        <v>30</v>
      </c>
      <c r="F176" s="121">
        <f t="shared" si="45"/>
        <v>0</v>
      </c>
      <c r="G176" s="121">
        <f>G177+G178+G179</f>
        <v>100</v>
      </c>
      <c r="H176" s="121">
        <f>H177+H178+H179</f>
        <v>0</v>
      </c>
      <c r="I176" s="121">
        <f>I177+I178+I179</f>
        <v>0</v>
      </c>
      <c r="J176" s="121"/>
      <c r="K176" s="121">
        <f>K177+K178+K179</f>
        <v>0</v>
      </c>
      <c r="L176" s="121">
        <f>L177+L178+L179</f>
        <v>0</v>
      </c>
      <c r="M176" s="121"/>
      <c r="N176" s="121"/>
      <c r="O176" s="104"/>
      <c r="P176" s="300"/>
      <c r="Q176" s="122" t="s">
        <v>61</v>
      </c>
      <c r="R176" s="135">
        <v>3</v>
      </c>
      <c r="S176" s="124"/>
      <c r="T176" s="125" t="str">
        <f>'[1]ДЦП Благоуст. (29.01.13 с изм.)'!E160</f>
        <v>2013-2015 годы</v>
      </c>
    </row>
    <row r="177" spans="1:20" ht="15">
      <c r="A177" s="137"/>
      <c r="B177" s="127"/>
      <c r="C177" s="128"/>
      <c r="D177" s="128"/>
      <c r="E177" s="129" t="s">
        <v>32</v>
      </c>
      <c r="F177" s="130">
        <f t="shared" si="45"/>
        <v>0</v>
      </c>
      <c r="G177" s="130">
        <v>100</v>
      </c>
      <c r="H177" s="130"/>
      <c r="I177" s="130"/>
      <c r="J177" s="130"/>
      <c r="K177" s="130">
        <f>I177-J177</f>
        <v>0</v>
      </c>
      <c r="L177" s="131"/>
      <c r="M177" s="131"/>
      <c r="N177" s="131"/>
      <c r="O177" s="104"/>
      <c r="P177" s="300"/>
      <c r="Q177" s="138" t="s">
        <v>61</v>
      </c>
      <c r="R177" s="139">
        <v>3</v>
      </c>
      <c r="S177" s="124"/>
      <c r="T177" s="125"/>
    </row>
    <row r="178" spans="1:20" ht="15">
      <c r="A178" s="137"/>
      <c r="B178" s="127"/>
      <c r="C178" s="132"/>
      <c r="D178" s="132"/>
      <c r="E178" s="133" t="s">
        <v>33</v>
      </c>
      <c r="F178" s="131">
        <f t="shared" si="45"/>
        <v>0</v>
      </c>
      <c r="G178" s="131">
        <f t="shared" si="45"/>
        <v>0</v>
      </c>
      <c r="H178" s="131">
        <f t="shared" si="45"/>
        <v>0</v>
      </c>
      <c r="I178" s="131">
        <f t="shared" si="45"/>
        <v>0</v>
      </c>
      <c r="J178" s="131"/>
      <c r="K178" s="131">
        <f>I178-J178</f>
        <v>0</v>
      </c>
      <c r="L178" s="131"/>
      <c r="M178" s="131"/>
      <c r="N178" s="131"/>
      <c r="O178" s="104"/>
      <c r="P178" s="300"/>
      <c r="Q178" s="138" t="s">
        <v>61</v>
      </c>
      <c r="R178" s="139">
        <v>3</v>
      </c>
      <c r="S178" s="124"/>
      <c r="T178" s="125"/>
    </row>
    <row r="179" spans="1:21" ht="15">
      <c r="A179" s="137"/>
      <c r="B179" s="127"/>
      <c r="C179" s="132"/>
      <c r="D179" s="132"/>
      <c r="E179" s="133" t="s">
        <v>34</v>
      </c>
      <c r="F179" s="131">
        <f t="shared" si="45"/>
        <v>0</v>
      </c>
      <c r="G179" s="131">
        <f t="shared" si="45"/>
        <v>0</v>
      </c>
      <c r="H179" s="131">
        <f t="shared" si="45"/>
        <v>0</v>
      </c>
      <c r="I179" s="131">
        <f t="shared" si="45"/>
        <v>0</v>
      </c>
      <c r="J179" s="131"/>
      <c r="K179" s="131">
        <f>I179-J179</f>
        <v>0</v>
      </c>
      <c r="L179" s="131"/>
      <c r="M179" s="131"/>
      <c r="N179" s="131"/>
      <c r="O179" s="104"/>
      <c r="P179" s="300"/>
      <c r="Q179" s="138" t="s">
        <v>61</v>
      </c>
      <c r="R179" s="139">
        <v>3</v>
      </c>
      <c r="S179" s="124"/>
      <c r="T179" s="125"/>
      <c r="U179" s="134" t="e">
        <f>G179-'[2]ДЦП Благоуст. (29.01.13 с изм.)'!$S$83</f>
        <v>#REF!</v>
      </c>
    </row>
    <row r="180" spans="1:20" ht="15">
      <c r="A180" s="117" t="s">
        <v>126</v>
      </c>
      <c r="B180" s="118" t="s">
        <v>183</v>
      </c>
      <c r="C180" s="119">
        <f>C181+C182+C183</f>
        <v>0</v>
      </c>
      <c r="D180" s="119">
        <f>D181+D182+D183</f>
        <v>0</v>
      </c>
      <c r="E180" s="120" t="s">
        <v>30</v>
      </c>
      <c r="F180" s="121">
        <f t="shared" si="45"/>
        <v>0</v>
      </c>
      <c r="G180" s="121">
        <f>G181+G182+G183</f>
        <v>650</v>
      </c>
      <c r="H180" s="121">
        <f>H181+H182+H183</f>
        <v>400</v>
      </c>
      <c r="I180" s="121">
        <f>I181+I182+I183</f>
        <v>0</v>
      </c>
      <c r="J180" s="121"/>
      <c r="K180" s="121">
        <f>K181+K182+K183</f>
        <v>0</v>
      </c>
      <c r="L180" s="121">
        <f>L181+L182+L183</f>
        <v>0</v>
      </c>
      <c r="M180" s="121"/>
      <c r="N180" s="121"/>
      <c r="O180" s="104"/>
      <c r="P180" s="300"/>
      <c r="Q180" s="122" t="s">
        <v>61</v>
      </c>
      <c r="R180" s="135">
        <f>R181+R182+R183</f>
        <v>91</v>
      </c>
      <c r="S180" s="124"/>
      <c r="T180" s="125" t="str">
        <f>'[1]ДЦП Благоуст. (29.01.13 с изм.)'!E165</f>
        <v>2013 год</v>
      </c>
    </row>
    <row r="181" spans="1:20" ht="15">
      <c r="A181" s="137"/>
      <c r="B181" s="127"/>
      <c r="C181" s="128"/>
      <c r="D181" s="128"/>
      <c r="E181" s="129" t="s">
        <v>32</v>
      </c>
      <c r="F181" s="130">
        <f t="shared" si="45"/>
        <v>0</v>
      </c>
      <c r="G181" s="130">
        <v>650</v>
      </c>
      <c r="H181" s="130">
        <v>400</v>
      </c>
      <c r="I181" s="130"/>
      <c r="J181" s="130"/>
      <c r="K181" s="130">
        <f>I181-J181</f>
        <v>0</v>
      </c>
      <c r="L181" s="131"/>
      <c r="M181" s="131"/>
      <c r="N181" s="131"/>
      <c r="O181" s="104"/>
      <c r="P181" s="300"/>
      <c r="Q181" s="138" t="s">
        <v>61</v>
      </c>
      <c r="R181" s="139">
        <v>27</v>
      </c>
      <c r="S181" s="124"/>
      <c r="T181" s="125"/>
    </row>
    <row r="182" spans="1:20" ht="15">
      <c r="A182" s="137"/>
      <c r="B182" s="127"/>
      <c r="C182" s="132"/>
      <c r="D182" s="132"/>
      <c r="E182" s="133" t="s">
        <v>33</v>
      </c>
      <c r="F182" s="131">
        <f t="shared" si="45"/>
        <v>0</v>
      </c>
      <c r="G182" s="131">
        <f t="shared" si="45"/>
        <v>0</v>
      </c>
      <c r="H182" s="131">
        <f t="shared" si="45"/>
        <v>0</v>
      </c>
      <c r="I182" s="131">
        <f t="shared" si="45"/>
        <v>0</v>
      </c>
      <c r="J182" s="131"/>
      <c r="K182" s="131">
        <f>I182-J182</f>
        <v>0</v>
      </c>
      <c r="L182" s="131"/>
      <c r="M182" s="131"/>
      <c r="N182" s="131"/>
      <c r="O182" s="104"/>
      <c r="P182" s="300"/>
      <c r="Q182" s="138" t="s">
        <v>61</v>
      </c>
      <c r="R182" s="139">
        <v>32</v>
      </c>
      <c r="S182" s="124"/>
      <c r="T182" s="125"/>
    </row>
    <row r="183" spans="1:21" ht="15">
      <c r="A183" s="137"/>
      <c r="B183" s="127"/>
      <c r="C183" s="132"/>
      <c r="D183" s="132"/>
      <c r="E183" s="133" t="s">
        <v>34</v>
      </c>
      <c r="F183" s="131">
        <f t="shared" si="45"/>
        <v>0</v>
      </c>
      <c r="G183" s="131">
        <f t="shared" si="45"/>
        <v>0</v>
      </c>
      <c r="H183" s="131">
        <f t="shared" si="45"/>
        <v>0</v>
      </c>
      <c r="I183" s="131">
        <f t="shared" si="45"/>
        <v>0</v>
      </c>
      <c r="J183" s="131"/>
      <c r="K183" s="131">
        <f>I183-J183</f>
        <v>0</v>
      </c>
      <c r="L183" s="131"/>
      <c r="M183" s="131"/>
      <c r="N183" s="131"/>
      <c r="O183" s="104"/>
      <c r="P183" s="300"/>
      <c r="Q183" s="138" t="s">
        <v>61</v>
      </c>
      <c r="R183" s="139">
        <v>32</v>
      </c>
      <c r="S183" s="124"/>
      <c r="T183" s="125"/>
      <c r="U183" s="134" t="e">
        <f>G183-'[2]ДЦП Благоуст. (29.01.13 с изм.)'!$S$93</f>
        <v>#REF!</v>
      </c>
    </row>
    <row r="184" spans="1:20" ht="30">
      <c r="A184" s="117" t="s">
        <v>127</v>
      </c>
      <c r="B184" s="118" t="s">
        <v>184</v>
      </c>
      <c r="C184" s="119">
        <f>C185+C186+C187</f>
        <v>0</v>
      </c>
      <c r="D184" s="119">
        <f>D185+D186+D187</f>
        <v>0</v>
      </c>
      <c r="E184" s="120" t="s">
        <v>30</v>
      </c>
      <c r="F184" s="121">
        <f t="shared" si="45"/>
        <v>800</v>
      </c>
      <c r="G184" s="121">
        <f aca="true" t="shared" si="46" ref="G184:L184">G185+G186+G187</f>
        <v>1800</v>
      </c>
      <c r="H184" s="121">
        <f t="shared" si="46"/>
        <v>1800</v>
      </c>
      <c r="I184" s="121">
        <f t="shared" si="46"/>
        <v>800</v>
      </c>
      <c r="J184" s="121">
        <f t="shared" si="46"/>
        <v>0</v>
      </c>
      <c r="K184" s="121">
        <f t="shared" si="46"/>
        <v>800</v>
      </c>
      <c r="L184" s="121">
        <f t="shared" si="46"/>
        <v>0</v>
      </c>
      <c r="M184" s="121"/>
      <c r="N184" s="121"/>
      <c r="O184" s="104"/>
      <c r="P184" s="300"/>
      <c r="Q184" s="122" t="s">
        <v>61</v>
      </c>
      <c r="R184" s="135">
        <f>R185+R186+R187</f>
        <v>23</v>
      </c>
      <c r="S184" s="124"/>
      <c r="T184" s="125" t="str">
        <f>'[1]ДЦП Благоуст. (29.01.13 с изм.)'!E216</f>
        <v>2013-2015 годы</v>
      </c>
    </row>
    <row r="185" spans="1:20" ht="15">
      <c r="A185" s="137"/>
      <c r="B185" s="127"/>
      <c r="C185" s="128"/>
      <c r="D185" s="128"/>
      <c r="E185" s="129" t="s">
        <v>32</v>
      </c>
      <c r="F185" s="130">
        <v>400</v>
      </c>
      <c r="G185" s="130">
        <v>1000</v>
      </c>
      <c r="H185" s="130">
        <v>1000</v>
      </c>
      <c r="I185" s="130"/>
      <c r="J185" s="130"/>
      <c r="K185" s="130">
        <f>I185-J185</f>
        <v>0</v>
      </c>
      <c r="L185" s="131"/>
      <c r="M185" s="131"/>
      <c r="N185" s="131"/>
      <c r="O185" s="104"/>
      <c r="P185" s="300"/>
      <c r="Q185" s="138" t="s">
        <v>61</v>
      </c>
      <c r="R185" s="139">
        <v>12</v>
      </c>
      <c r="S185" s="124"/>
      <c r="T185" s="125"/>
    </row>
    <row r="186" spans="1:20" ht="15">
      <c r="A186" s="137"/>
      <c r="B186" s="127"/>
      <c r="C186" s="132"/>
      <c r="D186" s="132"/>
      <c r="E186" s="133" t="s">
        <v>33</v>
      </c>
      <c r="F186" s="131">
        <v>400</v>
      </c>
      <c r="G186" s="131">
        <v>400</v>
      </c>
      <c r="H186" s="131">
        <v>400</v>
      </c>
      <c r="I186" s="131">
        <v>400</v>
      </c>
      <c r="J186" s="131"/>
      <c r="K186" s="131">
        <f>I186-J186</f>
        <v>400</v>
      </c>
      <c r="L186" s="131"/>
      <c r="M186" s="131"/>
      <c r="N186" s="131"/>
      <c r="O186" s="104"/>
      <c r="P186" s="300"/>
      <c r="Q186" s="138" t="s">
        <v>61</v>
      </c>
      <c r="R186" s="139">
        <v>6</v>
      </c>
      <c r="S186" s="124"/>
      <c r="T186" s="125"/>
    </row>
    <row r="187" spans="1:21" ht="15">
      <c r="A187" s="137"/>
      <c r="B187" s="127"/>
      <c r="C187" s="132"/>
      <c r="D187" s="132"/>
      <c r="E187" s="133" t="s">
        <v>34</v>
      </c>
      <c r="F187" s="131">
        <v>400</v>
      </c>
      <c r="G187" s="131">
        <v>400</v>
      </c>
      <c r="H187" s="131">
        <v>400</v>
      </c>
      <c r="I187" s="131">
        <v>400</v>
      </c>
      <c r="J187" s="131"/>
      <c r="K187" s="131">
        <f>I187-J187</f>
        <v>400</v>
      </c>
      <c r="L187" s="131"/>
      <c r="M187" s="131"/>
      <c r="N187" s="131"/>
      <c r="O187" s="104"/>
      <c r="P187" s="300"/>
      <c r="Q187" s="138" t="s">
        <v>61</v>
      </c>
      <c r="R187" s="139">
        <v>5</v>
      </c>
      <c r="S187" s="124"/>
      <c r="T187" s="125"/>
      <c r="U187" s="134" t="e">
        <f>G187-'[2]ДЦП Благоуст. (29.01.13 с изм.)'!$S$185</f>
        <v>#REF!</v>
      </c>
    </row>
    <row r="188" spans="1:20" ht="15">
      <c r="A188" s="117" t="s">
        <v>128</v>
      </c>
      <c r="B188" s="118" t="s">
        <v>129</v>
      </c>
      <c r="C188" s="119">
        <f>C189+C190+C191</f>
        <v>0</v>
      </c>
      <c r="D188" s="119">
        <f>D189+D190+D191</f>
        <v>681.5</v>
      </c>
      <c r="E188" s="120" t="s">
        <v>30</v>
      </c>
      <c r="F188" s="121">
        <f>L188+I188</f>
        <v>1498</v>
      </c>
      <c r="G188" s="121">
        <f aca="true" t="shared" si="47" ref="G188:L188">G189+G190+G191</f>
        <v>3900</v>
      </c>
      <c r="H188" s="121">
        <f t="shared" si="47"/>
        <v>3900</v>
      </c>
      <c r="I188" s="121">
        <f t="shared" si="47"/>
        <v>1498</v>
      </c>
      <c r="J188" s="121">
        <f t="shared" si="47"/>
        <v>598</v>
      </c>
      <c r="K188" s="121">
        <f t="shared" si="47"/>
        <v>900</v>
      </c>
      <c r="L188" s="121">
        <f t="shared" si="47"/>
        <v>0</v>
      </c>
      <c r="M188" s="121"/>
      <c r="N188" s="121"/>
      <c r="O188" s="104"/>
      <c r="P188" s="300"/>
      <c r="Q188" s="122" t="s">
        <v>61</v>
      </c>
      <c r="R188" s="135">
        <f>R189+R190+R191</f>
        <v>23</v>
      </c>
      <c r="S188" s="124"/>
      <c r="T188" s="125" t="str">
        <f>'[1]ДЦП Благоуст. (29.01.13 с изм.)'!E203</f>
        <v>2015 год</v>
      </c>
    </row>
    <row r="189" spans="1:20" ht="15" outlineLevel="1">
      <c r="A189" s="188"/>
      <c r="B189" s="127"/>
      <c r="C189" s="128"/>
      <c r="D189" s="128">
        <f>99.7+491.5+90.3</f>
        <v>681.5</v>
      </c>
      <c r="E189" s="129" t="s">
        <v>32</v>
      </c>
      <c r="F189" s="130">
        <v>500</v>
      </c>
      <c r="G189" s="130">
        <f>850+250+200+400+300+200+150+100+150+150+100+150</f>
        <v>3000</v>
      </c>
      <c r="H189" s="130">
        <f>850+250+200+400+300+200+150+100+150+150+100+150</f>
        <v>3000</v>
      </c>
      <c r="I189" s="130">
        <v>598</v>
      </c>
      <c r="J189" s="130">
        <v>598</v>
      </c>
      <c r="K189" s="130">
        <f>I189-J189</f>
        <v>0</v>
      </c>
      <c r="L189" s="131"/>
      <c r="M189" s="131"/>
      <c r="N189" s="131"/>
      <c r="O189" s="104"/>
      <c r="P189" s="300"/>
      <c r="Q189" s="138" t="s">
        <v>61</v>
      </c>
      <c r="R189" s="139">
        <v>12</v>
      </c>
      <c r="S189" s="191">
        <v>3000000</v>
      </c>
      <c r="T189" s="125"/>
    </row>
    <row r="190" spans="1:20" ht="15" outlineLevel="1">
      <c r="A190" s="188"/>
      <c r="B190" s="127"/>
      <c r="C190" s="222"/>
      <c r="D190" s="222"/>
      <c r="E190" s="133" t="s">
        <v>33</v>
      </c>
      <c r="F190" s="131">
        <v>450</v>
      </c>
      <c r="G190" s="131">
        <v>450</v>
      </c>
      <c r="H190" s="131">
        <v>450</v>
      </c>
      <c r="I190" s="131">
        <v>450</v>
      </c>
      <c r="J190" s="131"/>
      <c r="K190" s="131">
        <f>I190-J190</f>
        <v>450</v>
      </c>
      <c r="L190" s="131"/>
      <c r="M190" s="131"/>
      <c r="N190" s="131"/>
      <c r="O190" s="104"/>
      <c r="P190" s="300"/>
      <c r="Q190" s="138" t="s">
        <v>61</v>
      </c>
      <c r="R190" s="139">
        <v>6</v>
      </c>
      <c r="S190" s="191">
        <v>1450000</v>
      </c>
      <c r="T190" s="125"/>
    </row>
    <row r="191" spans="1:21" ht="15" outlineLevel="1">
      <c r="A191" s="188"/>
      <c r="B191" s="127"/>
      <c r="C191" s="132"/>
      <c r="D191" s="132"/>
      <c r="E191" s="133" t="s">
        <v>34</v>
      </c>
      <c r="F191" s="131">
        <v>450</v>
      </c>
      <c r="G191" s="131">
        <v>450</v>
      </c>
      <c r="H191" s="131">
        <v>450</v>
      </c>
      <c r="I191" s="131">
        <v>450</v>
      </c>
      <c r="J191" s="131"/>
      <c r="K191" s="131">
        <f>I191-J191</f>
        <v>450</v>
      </c>
      <c r="L191" s="131"/>
      <c r="M191" s="131"/>
      <c r="N191" s="131"/>
      <c r="O191" s="104"/>
      <c r="P191" s="300"/>
      <c r="Q191" s="138" t="s">
        <v>61</v>
      </c>
      <c r="R191" s="139">
        <v>5</v>
      </c>
      <c r="S191" s="191">
        <v>2100000</v>
      </c>
      <c r="T191" s="125"/>
      <c r="U191" s="134" t="e">
        <f>G191-'[2]ДЦП Благоуст. (29.01.13 с изм.)'!$S$158</f>
        <v>#REF!</v>
      </c>
    </row>
    <row r="192" spans="1:20" ht="15">
      <c r="A192" s="117" t="s">
        <v>130</v>
      </c>
      <c r="B192" s="118" t="s">
        <v>131</v>
      </c>
      <c r="C192" s="119">
        <f>C193+C194+C195</f>
        <v>0</v>
      </c>
      <c r="D192" s="119">
        <f>D193+D194+D195</f>
        <v>294</v>
      </c>
      <c r="E192" s="120" t="s">
        <v>30</v>
      </c>
      <c r="F192" s="121">
        <f>L192+I192</f>
        <v>300</v>
      </c>
      <c r="G192" s="121">
        <f aca="true" t="shared" si="48" ref="G192:L192">G193+G194+G195</f>
        <v>700</v>
      </c>
      <c r="H192" s="121">
        <f t="shared" si="48"/>
        <v>600</v>
      </c>
      <c r="I192" s="121">
        <f t="shared" si="48"/>
        <v>300</v>
      </c>
      <c r="J192" s="121">
        <f t="shared" si="48"/>
        <v>0</v>
      </c>
      <c r="K192" s="121">
        <f t="shared" si="48"/>
        <v>300</v>
      </c>
      <c r="L192" s="121">
        <f t="shared" si="48"/>
        <v>0</v>
      </c>
      <c r="M192" s="121"/>
      <c r="N192" s="121"/>
      <c r="O192" s="104"/>
      <c r="P192" s="300"/>
      <c r="Q192" s="223" t="s">
        <v>61</v>
      </c>
      <c r="R192" s="224">
        <f>R193+R194+R195</f>
        <v>150</v>
      </c>
      <c r="S192" s="124"/>
      <c r="T192" s="125" t="str">
        <f>'[1]ДЦП Благоуст. (29.01.13 с изм.)'!E196</f>
        <v>2013-2015 годы</v>
      </c>
    </row>
    <row r="193" spans="1:20" ht="15">
      <c r="A193" s="137"/>
      <c r="B193" s="127"/>
      <c r="C193" s="128"/>
      <c r="D193" s="128">
        <f>65.6+67.7+70.7+90</f>
        <v>294</v>
      </c>
      <c r="E193" s="129" t="s">
        <v>32</v>
      </c>
      <c r="F193" s="130">
        <v>200</v>
      </c>
      <c r="G193" s="130">
        <v>400</v>
      </c>
      <c r="H193" s="130">
        <v>300</v>
      </c>
      <c r="I193" s="130"/>
      <c r="J193" s="130"/>
      <c r="K193" s="130">
        <f>I193-J193</f>
        <v>0</v>
      </c>
      <c r="L193" s="131"/>
      <c r="M193" s="131"/>
      <c r="N193" s="131"/>
      <c r="O193" s="104"/>
      <c r="P193" s="300"/>
      <c r="Q193" s="225" t="s">
        <v>61</v>
      </c>
      <c r="R193" s="226">
        <v>50</v>
      </c>
      <c r="S193" s="124"/>
      <c r="T193" s="125"/>
    </row>
    <row r="194" spans="1:20" ht="15">
      <c r="A194" s="137"/>
      <c r="B194" s="127"/>
      <c r="C194" s="132"/>
      <c r="D194" s="132"/>
      <c r="E194" s="133" t="s">
        <v>33</v>
      </c>
      <c r="F194" s="131">
        <v>150</v>
      </c>
      <c r="G194" s="131">
        <v>150</v>
      </c>
      <c r="H194" s="131">
        <v>150</v>
      </c>
      <c r="I194" s="131">
        <v>150</v>
      </c>
      <c r="J194" s="131"/>
      <c r="K194" s="131">
        <f>I194-J194</f>
        <v>150</v>
      </c>
      <c r="L194" s="131"/>
      <c r="M194" s="131"/>
      <c r="N194" s="131"/>
      <c r="O194" s="104"/>
      <c r="P194" s="300"/>
      <c r="Q194" s="225" t="s">
        <v>61</v>
      </c>
      <c r="R194" s="226">
        <v>50</v>
      </c>
      <c r="S194" s="124"/>
      <c r="T194" s="125"/>
    </row>
    <row r="195" spans="1:21" ht="15">
      <c r="A195" s="137"/>
      <c r="B195" s="127"/>
      <c r="C195" s="132"/>
      <c r="D195" s="132"/>
      <c r="E195" s="133" t="s">
        <v>34</v>
      </c>
      <c r="F195" s="131">
        <v>150</v>
      </c>
      <c r="G195" s="131">
        <v>150</v>
      </c>
      <c r="H195" s="131">
        <v>150</v>
      </c>
      <c r="I195" s="131">
        <v>150</v>
      </c>
      <c r="J195" s="131"/>
      <c r="K195" s="131">
        <f>I195-J195</f>
        <v>150</v>
      </c>
      <c r="L195" s="131"/>
      <c r="M195" s="131"/>
      <c r="N195" s="131"/>
      <c r="O195" s="104"/>
      <c r="P195" s="300"/>
      <c r="Q195" s="225" t="s">
        <v>61</v>
      </c>
      <c r="R195" s="226">
        <v>50</v>
      </c>
      <c r="S195" s="124"/>
      <c r="T195" s="125"/>
      <c r="U195" s="134" t="e">
        <f>G195-'[2]ДЦП Благоуст. (29.01.13 с изм.)'!$S$135</f>
        <v>#REF!</v>
      </c>
    </row>
    <row r="196" spans="1:20" ht="30" collapsed="1">
      <c r="A196" s="117" t="s">
        <v>132</v>
      </c>
      <c r="B196" s="118" t="s">
        <v>185</v>
      </c>
      <c r="C196" s="119">
        <f>C197+C198+C199</f>
        <v>1282</v>
      </c>
      <c r="D196" s="119">
        <f>D197+D198+D199</f>
        <v>1750</v>
      </c>
      <c r="E196" s="120" t="s">
        <v>30</v>
      </c>
      <c r="F196" s="121">
        <f>L196+I196</f>
        <v>2750</v>
      </c>
      <c r="G196" s="121">
        <f aca="true" t="shared" si="49" ref="G196:L196">G197+G198+G199</f>
        <v>4277.71</v>
      </c>
      <c r="H196" s="121">
        <f t="shared" si="49"/>
        <v>4277.71</v>
      </c>
      <c r="I196" s="121">
        <f t="shared" si="49"/>
        <v>2750</v>
      </c>
      <c r="J196" s="121">
        <f t="shared" si="49"/>
        <v>350</v>
      </c>
      <c r="K196" s="121">
        <f t="shared" si="49"/>
        <v>2400</v>
      </c>
      <c r="L196" s="121">
        <f t="shared" si="49"/>
        <v>0</v>
      </c>
      <c r="M196" s="121"/>
      <c r="N196" s="121"/>
      <c r="O196" s="104"/>
      <c r="P196" s="300"/>
      <c r="Q196" s="122" t="s">
        <v>124</v>
      </c>
      <c r="R196" s="135">
        <v>1</v>
      </c>
      <c r="S196" s="124"/>
      <c r="T196" s="125" t="str">
        <f>'[1]ДЦП Благоуст. (29.01.13 с изм.)'!E220</f>
        <v>2013-2015 годы</v>
      </c>
    </row>
    <row r="197" spans="1:20" ht="15">
      <c r="A197" s="137"/>
      <c r="B197" s="127"/>
      <c r="C197" s="128">
        <f>1282</f>
        <v>1282</v>
      </c>
      <c r="D197" s="128">
        <v>1750</v>
      </c>
      <c r="E197" s="129" t="s">
        <v>32</v>
      </c>
      <c r="F197" s="130">
        <v>1400</v>
      </c>
      <c r="G197" s="130">
        <v>1877.71</v>
      </c>
      <c r="H197" s="130">
        <v>1877.71</v>
      </c>
      <c r="I197" s="130">
        <v>350</v>
      </c>
      <c r="J197" s="130">
        <v>350</v>
      </c>
      <c r="K197" s="130">
        <f>I197-J197</f>
        <v>0</v>
      </c>
      <c r="L197" s="131"/>
      <c r="M197" s="131"/>
      <c r="N197" s="131"/>
      <c r="O197" s="104"/>
      <c r="P197" s="300"/>
      <c r="Q197" s="138" t="s">
        <v>124</v>
      </c>
      <c r="R197" s="139">
        <v>1</v>
      </c>
      <c r="S197" s="124"/>
      <c r="T197" s="125"/>
    </row>
    <row r="198" spans="1:20" ht="15">
      <c r="A198" s="137"/>
      <c r="B198" s="127"/>
      <c r="C198" s="132"/>
      <c r="D198" s="132"/>
      <c r="E198" s="133" t="s">
        <v>33</v>
      </c>
      <c r="F198" s="131">
        <v>1200</v>
      </c>
      <c r="G198" s="131">
        <v>1200</v>
      </c>
      <c r="H198" s="131">
        <v>1200</v>
      </c>
      <c r="I198" s="131">
        <v>1200</v>
      </c>
      <c r="J198" s="131"/>
      <c r="K198" s="131">
        <f>I198-J198</f>
        <v>1200</v>
      </c>
      <c r="L198" s="131"/>
      <c r="M198" s="131"/>
      <c r="N198" s="131"/>
      <c r="O198" s="104"/>
      <c r="P198" s="300"/>
      <c r="Q198" s="138" t="s">
        <v>124</v>
      </c>
      <c r="R198" s="139">
        <v>1</v>
      </c>
      <c r="S198" s="124"/>
      <c r="T198" s="125"/>
    </row>
    <row r="199" spans="1:21" ht="15">
      <c r="A199" s="137"/>
      <c r="B199" s="127"/>
      <c r="C199" s="132"/>
      <c r="D199" s="132"/>
      <c r="E199" s="133" t="s">
        <v>34</v>
      </c>
      <c r="F199" s="131">
        <v>1200</v>
      </c>
      <c r="G199" s="131">
        <v>1200</v>
      </c>
      <c r="H199" s="131">
        <v>1200</v>
      </c>
      <c r="I199" s="131">
        <v>1200</v>
      </c>
      <c r="J199" s="131"/>
      <c r="K199" s="131">
        <f>I199-J199</f>
        <v>1200</v>
      </c>
      <c r="L199" s="131"/>
      <c r="M199" s="131"/>
      <c r="N199" s="131"/>
      <c r="O199" s="104"/>
      <c r="P199" s="300"/>
      <c r="Q199" s="138" t="s">
        <v>124</v>
      </c>
      <c r="R199" s="139">
        <v>1</v>
      </c>
      <c r="S199" s="124"/>
      <c r="T199" s="125"/>
      <c r="U199" s="134" t="e">
        <f>G199-'[2]ДЦП Благоуст. (29.01.13 с изм.)'!$S$187</f>
        <v>#REF!</v>
      </c>
    </row>
    <row r="200" spans="1:20" ht="15">
      <c r="A200" s="117" t="s">
        <v>133</v>
      </c>
      <c r="B200" s="118" t="s">
        <v>186</v>
      </c>
      <c r="C200" s="119">
        <f>C201+C202+C203</f>
        <v>0</v>
      </c>
      <c r="D200" s="119">
        <f>D201+D202+D203</f>
        <v>400</v>
      </c>
      <c r="E200" s="120" t="s">
        <v>30</v>
      </c>
      <c r="F200" s="121">
        <f>L200+I200</f>
        <v>1000</v>
      </c>
      <c r="G200" s="121">
        <f aca="true" t="shared" si="50" ref="G200:L200">G201+G202+G203</f>
        <v>1100</v>
      </c>
      <c r="H200" s="121">
        <f t="shared" si="50"/>
        <v>1100</v>
      </c>
      <c r="I200" s="121">
        <f t="shared" si="50"/>
        <v>1000</v>
      </c>
      <c r="J200" s="121">
        <f t="shared" si="50"/>
        <v>0</v>
      </c>
      <c r="K200" s="121">
        <f t="shared" si="50"/>
        <v>1000</v>
      </c>
      <c r="L200" s="121">
        <f t="shared" si="50"/>
        <v>0</v>
      </c>
      <c r="M200" s="121"/>
      <c r="N200" s="121"/>
      <c r="O200" s="104"/>
      <c r="P200" s="300"/>
      <c r="Q200" s="223" t="s">
        <v>61</v>
      </c>
      <c r="R200" s="224">
        <v>2</v>
      </c>
      <c r="S200" s="124"/>
      <c r="T200" s="125" t="str">
        <f>'[1]ДЦП Благоуст. (29.01.13 с изм.)'!E162</f>
        <v>2014 год</v>
      </c>
    </row>
    <row r="201" spans="1:20" ht="15">
      <c r="A201" s="137"/>
      <c r="B201" s="127"/>
      <c r="C201" s="128"/>
      <c r="D201" s="128">
        <f>100+100+100+100</f>
        <v>400</v>
      </c>
      <c r="E201" s="129" t="s">
        <v>32</v>
      </c>
      <c r="F201" s="130">
        <v>400</v>
      </c>
      <c r="G201" s="130">
        <v>400</v>
      </c>
      <c r="H201" s="130">
        <v>400</v>
      </c>
      <c r="I201" s="130">
        <f>400-100</f>
        <v>300</v>
      </c>
      <c r="J201" s="130"/>
      <c r="K201" s="130">
        <f>I201-J201</f>
        <v>300</v>
      </c>
      <c r="L201" s="131"/>
      <c r="M201" s="131"/>
      <c r="N201" s="131"/>
      <c r="O201" s="104"/>
      <c r="P201" s="300"/>
      <c r="Q201" s="225" t="s">
        <v>61</v>
      </c>
      <c r="R201" s="226">
        <v>2</v>
      </c>
      <c r="S201" s="124"/>
      <c r="T201" s="125"/>
    </row>
    <row r="202" spans="1:20" ht="15">
      <c r="A202" s="137"/>
      <c r="B202" s="127"/>
      <c r="C202" s="132"/>
      <c r="D202" s="132"/>
      <c r="E202" s="133" t="s">
        <v>33</v>
      </c>
      <c r="F202" s="131">
        <v>350</v>
      </c>
      <c r="G202" s="131">
        <v>350</v>
      </c>
      <c r="H202" s="131">
        <v>350</v>
      </c>
      <c r="I202" s="131">
        <v>350</v>
      </c>
      <c r="J202" s="131"/>
      <c r="K202" s="131">
        <f>I202-J202</f>
        <v>350</v>
      </c>
      <c r="L202" s="131"/>
      <c r="M202" s="131"/>
      <c r="N202" s="131"/>
      <c r="O202" s="104"/>
      <c r="P202" s="300"/>
      <c r="Q202" s="225" t="s">
        <v>61</v>
      </c>
      <c r="R202" s="226">
        <v>2</v>
      </c>
      <c r="S202" s="124"/>
      <c r="T202" s="125"/>
    </row>
    <row r="203" spans="1:21" ht="15">
      <c r="A203" s="137"/>
      <c r="B203" s="127"/>
      <c r="C203" s="132"/>
      <c r="D203" s="132"/>
      <c r="E203" s="133" t="s">
        <v>34</v>
      </c>
      <c r="F203" s="131">
        <v>350</v>
      </c>
      <c r="G203" s="131">
        <v>350</v>
      </c>
      <c r="H203" s="131">
        <v>350</v>
      </c>
      <c r="I203" s="131">
        <v>350</v>
      </c>
      <c r="J203" s="131"/>
      <c r="K203" s="131">
        <f>I203-J203</f>
        <v>350</v>
      </c>
      <c r="L203" s="131"/>
      <c r="M203" s="131"/>
      <c r="N203" s="131"/>
      <c r="O203" s="104"/>
      <c r="P203" s="300"/>
      <c r="Q203" s="225" t="s">
        <v>61</v>
      </c>
      <c r="R203" s="226">
        <v>2</v>
      </c>
      <c r="S203" s="124"/>
      <c r="T203" s="125"/>
      <c r="U203" s="134" t="e">
        <f>G203-'[2]ДЦП Благоуст. (29.01.13 с изм.)'!$S$84</f>
        <v>#REF!</v>
      </c>
    </row>
    <row r="204" spans="1:20" ht="30">
      <c r="A204" s="117" t="s">
        <v>134</v>
      </c>
      <c r="B204" s="118" t="s">
        <v>187</v>
      </c>
      <c r="C204" s="119">
        <f>C205+C206+C207</f>
        <v>775.2</v>
      </c>
      <c r="D204" s="119">
        <f>D205+D206+D207</f>
        <v>997.4</v>
      </c>
      <c r="E204" s="120" t="s">
        <v>30</v>
      </c>
      <c r="F204" s="121">
        <f>L204+I204</f>
        <v>1600</v>
      </c>
      <c r="G204" s="121">
        <f aca="true" t="shared" si="51" ref="G204:L204">G205+G206+G207</f>
        <v>3092.66</v>
      </c>
      <c r="H204" s="121">
        <f t="shared" si="51"/>
        <v>2000</v>
      </c>
      <c r="I204" s="121">
        <f t="shared" si="51"/>
        <v>1600</v>
      </c>
      <c r="J204" s="121">
        <f t="shared" si="51"/>
        <v>0</v>
      </c>
      <c r="K204" s="121">
        <f t="shared" si="51"/>
        <v>1600</v>
      </c>
      <c r="L204" s="121">
        <f t="shared" si="51"/>
        <v>0</v>
      </c>
      <c r="M204" s="121"/>
      <c r="N204" s="121"/>
      <c r="O204" s="104"/>
      <c r="P204" s="300"/>
      <c r="Q204" s="122" t="s">
        <v>135</v>
      </c>
      <c r="R204" s="135">
        <f>R205+R206+R207</f>
        <v>1467</v>
      </c>
      <c r="S204" s="124"/>
      <c r="T204" s="125" t="str">
        <f>'[1]ДЦП Благоуст. (29.01.13 с изм.)'!E164</f>
        <v>2013-2015 годы</v>
      </c>
    </row>
    <row r="205" spans="1:20" ht="15">
      <c r="A205" s="137"/>
      <c r="B205" s="127"/>
      <c r="C205" s="128">
        <f>57.7+42.6+42.2+54.8+45.9+32.1+499.9</f>
        <v>775.2</v>
      </c>
      <c r="D205" s="128">
        <f>498.7*2</f>
        <v>997.4</v>
      </c>
      <c r="E205" s="129" t="s">
        <v>32</v>
      </c>
      <c r="F205" s="130">
        <v>600</v>
      </c>
      <c r="G205" s="130">
        <v>2092.66</v>
      </c>
      <c r="H205" s="130">
        <v>1000</v>
      </c>
      <c r="I205" s="130">
        <f>800-200</f>
        <v>600</v>
      </c>
      <c r="J205" s="130"/>
      <c r="K205" s="130">
        <f>I205-J205</f>
        <v>600</v>
      </c>
      <c r="L205" s="131"/>
      <c r="M205" s="131"/>
      <c r="N205" s="131"/>
      <c r="O205" s="104"/>
      <c r="P205" s="300"/>
      <c r="Q205" s="138" t="s">
        <v>135</v>
      </c>
      <c r="R205" s="139">
        <v>489</v>
      </c>
      <c r="S205" s="124"/>
      <c r="T205" s="125"/>
    </row>
    <row r="206" spans="1:20" ht="15">
      <c r="A206" s="137"/>
      <c r="B206" s="127"/>
      <c r="C206" s="132"/>
      <c r="D206" s="132"/>
      <c r="E206" s="133" t="s">
        <v>33</v>
      </c>
      <c r="F206" s="131">
        <v>500</v>
      </c>
      <c r="G206" s="131">
        <v>500</v>
      </c>
      <c r="H206" s="131">
        <v>500</v>
      </c>
      <c r="I206" s="131">
        <v>500</v>
      </c>
      <c r="J206" s="131"/>
      <c r="K206" s="131">
        <f>I206-J206</f>
        <v>500</v>
      </c>
      <c r="L206" s="131"/>
      <c r="M206" s="131"/>
      <c r="N206" s="131"/>
      <c r="O206" s="104"/>
      <c r="P206" s="300"/>
      <c r="Q206" s="138" t="s">
        <v>135</v>
      </c>
      <c r="R206" s="139">
        <v>489</v>
      </c>
      <c r="S206" s="124"/>
      <c r="T206" s="125"/>
    </row>
    <row r="207" spans="1:21" ht="15">
      <c r="A207" s="137"/>
      <c r="B207" s="127"/>
      <c r="C207" s="132"/>
      <c r="D207" s="132"/>
      <c r="E207" s="133" t="s">
        <v>34</v>
      </c>
      <c r="F207" s="131">
        <v>500</v>
      </c>
      <c r="G207" s="131">
        <v>500</v>
      </c>
      <c r="H207" s="131">
        <v>500</v>
      </c>
      <c r="I207" s="131">
        <v>500</v>
      </c>
      <c r="J207" s="131"/>
      <c r="K207" s="131">
        <f>I207-J207</f>
        <v>500</v>
      </c>
      <c r="L207" s="131"/>
      <c r="M207" s="131"/>
      <c r="N207" s="131"/>
      <c r="O207" s="104"/>
      <c r="P207" s="300"/>
      <c r="Q207" s="138" t="s">
        <v>135</v>
      </c>
      <c r="R207" s="139">
        <v>489</v>
      </c>
      <c r="S207" s="124"/>
      <c r="T207" s="125"/>
      <c r="U207" s="134" t="e">
        <f>G207-'[2]ДЦП Благоуст. (29.01.13 с изм.)'!$S$85</f>
        <v>#REF!</v>
      </c>
    </row>
    <row r="208" spans="1:20" ht="15" customHeight="1">
      <c r="A208" s="117" t="s">
        <v>136</v>
      </c>
      <c r="B208" s="118" t="s">
        <v>188</v>
      </c>
      <c r="C208" s="119">
        <f>C209+C210+C211</f>
        <v>3394.8</v>
      </c>
      <c r="D208" s="119">
        <f>D209+D210+D211</f>
        <v>2295.7</v>
      </c>
      <c r="E208" s="120" t="s">
        <v>30</v>
      </c>
      <c r="F208" s="121">
        <f>L208+I208</f>
        <v>3786</v>
      </c>
      <c r="G208" s="121">
        <f aca="true" t="shared" si="52" ref="G208:L208">G209+G210+G211</f>
        <v>4387.51</v>
      </c>
      <c r="H208" s="121">
        <f t="shared" si="52"/>
        <v>4300</v>
      </c>
      <c r="I208" s="121">
        <f t="shared" si="52"/>
        <v>3786</v>
      </c>
      <c r="J208" s="121">
        <f t="shared" si="52"/>
        <v>486</v>
      </c>
      <c r="K208" s="121">
        <f t="shared" si="52"/>
        <v>3300</v>
      </c>
      <c r="L208" s="121">
        <f t="shared" si="52"/>
        <v>0</v>
      </c>
      <c r="M208" s="121"/>
      <c r="N208" s="121"/>
      <c r="O208" s="104"/>
      <c r="P208" s="300"/>
      <c r="Q208" s="122" t="s">
        <v>137</v>
      </c>
      <c r="R208" s="135">
        <v>4460</v>
      </c>
      <c r="S208" s="124"/>
      <c r="T208" s="125" t="str">
        <f>'[1]ДЦП Благоуст. (29.01.13 с изм.)'!E194</f>
        <v>2014 год</v>
      </c>
    </row>
    <row r="209" spans="1:20" ht="15">
      <c r="A209" s="137"/>
      <c r="B209" s="127"/>
      <c r="C209" s="128">
        <f>1140.8+2254</f>
        <v>3394.8</v>
      </c>
      <c r="D209" s="128">
        <v>2295.7</v>
      </c>
      <c r="E209" s="129" t="s">
        <v>32</v>
      </c>
      <c r="F209" s="130">
        <v>1300</v>
      </c>
      <c r="G209" s="130">
        <v>2387.51</v>
      </c>
      <c r="H209" s="130">
        <v>2300</v>
      </c>
      <c r="I209" s="130">
        <v>1786</v>
      </c>
      <c r="J209" s="130">
        <v>486</v>
      </c>
      <c r="K209" s="130">
        <f>I209-J209</f>
        <v>1300</v>
      </c>
      <c r="L209" s="131"/>
      <c r="M209" s="131"/>
      <c r="N209" s="131"/>
      <c r="O209" s="104"/>
      <c r="P209" s="300"/>
      <c r="Q209" s="138" t="s">
        <v>137</v>
      </c>
      <c r="R209" s="139">
        <v>4460</v>
      </c>
      <c r="S209" s="124"/>
      <c r="T209" s="125"/>
    </row>
    <row r="210" spans="1:20" ht="15">
      <c r="A210" s="137"/>
      <c r="B210" s="127"/>
      <c r="C210" s="132"/>
      <c r="D210" s="132"/>
      <c r="E210" s="133" t="s">
        <v>33</v>
      </c>
      <c r="F210" s="131">
        <v>1000</v>
      </c>
      <c r="G210" s="131">
        <v>1000</v>
      </c>
      <c r="H210" s="131">
        <v>1000</v>
      </c>
      <c r="I210" s="131">
        <v>1000</v>
      </c>
      <c r="J210" s="131"/>
      <c r="K210" s="131">
        <f>I210-J210</f>
        <v>1000</v>
      </c>
      <c r="L210" s="131"/>
      <c r="M210" s="131"/>
      <c r="N210" s="131"/>
      <c r="O210" s="104"/>
      <c r="P210" s="300"/>
      <c r="Q210" s="138" t="s">
        <v>137</v>
      </c>
      <c r="R210" s="139">
        <v>4460</v>
      </c>
      <c r="S210" s="124"/>
      <c r="T210" s="125"/>
    </row>
    <row r="211" spans="1:21" ht="15">
      <c r="A211" s="137"/>
      <c r="B211" s="127"/>
      <c r="C211" s="132"/>
      <c r="D211" s="132"/>
      <c r="E211" s="133" t="s">
        <v>34</v>
      </c>
      <c r="F211" s="131">
        <v>1000</v>
      </c>
      <c r="G211" s="131">
        <v>1000</v>
      </c>
      <c r="H211" s="131">
        <v>1000</v>
      </c>
      <c r="I211" s="131">
        <v>1000</v>
      </c>
      <c r="J211" s="131"/>
      <c r="K211" s="131">
        <f>I211-J211</f>
        <v>1000</v>
      </c>
      <c r="L211" s="131"/>
      <c r="M211" s="131"/>
      <c r="N211" s="131"/>
      <c r="O211" s="104"/>
      <c r="P211" s="300"/>
      <c r="Q211" s="138" t="s">
        <v>137</v>
      </c>
      <c r="R211" s="139">
        <v>4460</v>
      </c>
      <c r="S211" s="124"/>
      <c r="T211" s="125"/>
      <c r="U211" s="134" t="e">
        <f>G211-'[2]ДЦП Благоуст. (29.01.13 с изм.)'!$S$133</f>
        <v>#REF!</v>
      </c>
    </row>
    <row r="212" spans="1:20" ht="15">
      <c r="A212" s="117" t="s">
        <v>138</v>
      </c>
      <c r="B212" s="118" t="s">
        <v>139</v>
      </c>
      <c r="C212" s="119">
        <f>C213+C214+C215</f>
        <v>0</v>
      </c>
      <c r="D212" s="119">
        <f>D213+D214+D215</f>
        <v>84.37</v>
      </c>
      <c r="E212" s="120" t="s">
        <v>30</v>
      </c>
      <c r="F212" s="121">
        <f>L212+I212</f>
        <v>100</v>
      </c>
      <c r="G212" s="121">
        <f aca="true" t="shared" si="53" ref="G212:L212">G213+G214+G215</f>
        <v>200</v>
      </c>
      <c r="H212" s="121">
        <f t="shared" si="53"/>
        <v>200</v>
      </c>
      <c r="I212" s="121">
        <f t="shared" si="53"/>
        <v>100</v>
      </c>
      <c r="J212" s="121">
        <f t="shared" si="53"/>
        <v>0</v>
      </c>
      <c r="K212" s="121">
        <f t="shared" si="53"/>
        <v>100</v>
      </c>
      <c r="L212" s="121">
        <f t="shared" si="53"/>
        <v>0</v>
      </c>
      <c r="M212" s="121"/>
      <c r="N212" s="121"/>
      <c r="O212" s="104"/>
      <c r="P212" s="300"/>
      <c r="Q212" s="122" t="s">
        <v>93</v>
      </c>
      <c r="R212" s="135">
        <v>110</v>
      </c>
      <c r="S212" s="124"/>
      <c r="T212" s="125" t="str">
        <f>'[1]ДЦП Благоуст. (29.01.13 с изм.)'!E195</f>
        <v>2015 год</v>
      </c>
    </row>
    <row r="213" spans="1:20" ht="15">
      <c r="A213" s="137"/>
      <c r="B213" s="127"/>
      <c r="C213" s="128"/>
      <c r="D213" s="128">
        <f>76.7+7.67</f>
        <v>84.37</v>
      </c>
      <c r="E213" s="129" t="s">
        <v>32</v>
      </c>
      <c r="F213" s="130">
        <v>100</v>
      </c>
      <c r="G213" s="130">
        <v>100</v>
      </c>
      <c r="H213" s="130">
        <v>100</v>
      </c>
      <c r="I213" s="130"/>
      <c r="J213" s="130"/>
      <c r="K213" s="130">
        <f>I213-J213</f>
        <v>0</v>
      </c>
      <c r="L213" s="131"/>
      <c r="M213" s="131"/>
      <c r="N213" s="131"/>
      <c r="O213" s="104"/>
      <c r="P213" s="300"/>
      <c r="Q213" s="138" t="s">
        <v>93</v>
      </c>
      <c r="R213" s="139">
        <v>110</v>
      </c>
      <c r="S213" s="124"/>
      <c r="T213" s="125"/>
    </row>
    <row r="214" spans="1:20" ht="15">
      <c r="A214" s="137"/>
      <c r="B214" s="127"/>
      <c r="C214" s="132"/>
      <c r="D214" s="132"/>
      <c r="E214" s="133" t="s">
        <v>33</v>
      </c>
      <c r="F214" s="131">
        <v>50</v>
      </c>
      <c r="G214" s="131">
        <v>50</v>
      </c>
      <c r="H214" s="131">
        <v>50</v>
      </c>
      <c r="I214" s="131">
        <v>50</v>
      </c>
      <c r="J214" s="131"/>
      <c r="K214" s="131">
        <f>I214-J214</f>
        <v>50</v>
      </c>
      <c r="L214" s="131"/>
      <c r="M214" s="131"/>
      <c r="N214" s="131"/>
      <c r="O214" s="104"/>
      <c r="P214" s="300"/>
      <c r="Q214" s="138" t="s">
        <v>93</v>
      </c>
      <c r="R214" s="139">
        <v>110</v>
      </c>
      <c r="S214" s="124"/>
      <c r="T214" s="125"/>
    </row>
    <row r="215" spans="1:21" ht="15">
      <c r="A215" s="137"/>
      <c r="B215" s="127"/>
      <c r="C215" s="132"/>
      <c r="D215" s="132"/>
      <c r="E215" s="133" t="s">
        <v>34</v>
      </c>
      <c r="F215" s="131">
        <v>50</v>
      </c>
      <c r="G215" s="131">
        <v>50</v>
      </c>
      <c r="H215" s="131">
        <v>50</v>
      </c>
      <c r="I215" s="131">
        <v>50</v>
      </c>
      <c r="J215" s="131"/>
      <c r="K215" s="131">
        <f>I215-J215</f>
        <v>50</v>
      </c>
      <c r="L215" s="131"/>
      <c r="M215" s="131"/>
      <c r="N215" s="131"/>
      <c r="O215" s="104"/>
      <c r="P215" s="300"/>
      <c r="Q215" s="138" t="s">
        <v>93</v>
      </c>
      <c r="R215" s="139">
        <v>110</v>
      </c>
      <c r="S215" s="124"/>
      <c r="T215" s="125"/>
      <c r="U215" s="134" t="e">
        <f>G215-'[2]ДЦП Благоуст. (29.01.13 с изм.)'!$S$134</f>
        <v>#REF!</v>
      </c>
    </row>
    <row r="216" spans="1:20" ht="15">
      <c r="A216" s="117" t="s">
        <v>140</v>
      </c>
      <c r="B216" s="118" t="s">
        <v>141</v>
      </c>
      <c r="C216" s="119">
        <f>C217+C218+C219</f>
        <v>0</v>
      </c>
      <c r="D216" s="119">
        <f>D217+D218+D219</f>
        <v>297</v>
      </c>
      <c r="E216" s="120" t="s">
        <v>30</v>
      </c>
      <c r="F216" s="121">
        <f>L216+I216</f>
        <v>483</v>
      </c>
      <c r="G216" s="121">
        <f aca="true" t="shared" si="54" ref="G216:L216">G217+G218+G219</f>
        <v>600</v>
      </c>
      <c r="H216" s="121">
        <f t="shared" si="54"/>
        <v>600</v>
      </c>
      <c r="I216" s="121">
        <f t="shared" si="54"/>
        <v>483</v>
      </c>
      <c r="J216" s="121">
        <f t="shared" si="54"/>
        <v>183</v>
      </c>
      <c r="K216" s="121">
        <f t="shared" si="54"/>
        <v>300</v>
      </c>
      <c r="L216" s="121">
        <f t="shared" si="54"/>
        <v>0</v>
      </c>
      <c r="M216" s="121"/>
      <c r="N216" s="121"/>
      <c r="O216" s="104"/>
      <c r="P216" s="300"/>
      <c r="Q216" s="122" t="s">
        <v>124</v>
      </c>
      <c r="R216" s="135">
        <f>R217+R218+R219</f>
        <v>150</v>
      </c>
      <c r="S216" s="124"/>
      <c r="T216" s="125" t="str">
        <f>'[1]ДЦП Благоуст. (29.01.13 с изм.)'!E193</f>
        <v>2013 год</v>
      </c>
    </row>
    <row r="217" spans="1:20" ht="15">
      <c r="A217" s="137"/>
      <c r="B217" s="127"/>
      <c r="C217" s="128"/>
      <c r="D217" s="128">
        <f>99+99+99</f>
        <v>297</v>
      </c>
      <c r="E217" s="129" t="s">
        <v>32</v>
      </c>
      <c r="F217" s="130">
        <v>200</v>
      </c>
      <c r="G217" s="130">
        <v>300</v>
      </c>
      <c r="H217" s="130">
        <v>300</v>
      </c>
      <c r="I217" s="130">
        <v>183</v>
      </c>
      <c r="J217" s="130">
        <v>183</v>
      </c>
      <c r="K217" s="130">
        <f>I217-J217</f>
        <v>0</v>
      </c>
      <c r="L217" s="131"/>
      <c r="M217" s="131"/>
      <c r="N217" s="131"/>
      <c r="O217" s="104"/>
      <c r="P217" s="300"/>
      <c r="Q217" s="138" t="s">
        <v>124</v>
      </c>
      <c r="R217" s="139">
        <v>50</v>
      </c>
      <c r="S217" s="124"/>
      <c r="T217" s="125"/>
    </row>
    <row r="218" spans="1:20" ht="15">
      <c r="A218" s="137"/>
      <c r="B218" s="127"/>
      <c r="C218" s="132"/>
      <c r="D218" s="132"/>
      <c r="E218" s="133" t="s">
        <v>33</v>
      </c>
      <c r="F218" s="131">
        <v>150</v>
      </c>
      <c r="G218" s="131">
        <v>150</v>
      </c>
      <c r="H218" s="131">
        <v>150</v>
      </c>
      <c r="I218" s="131">
        <v>150</v>
      </c>
      <c r="J218" s="131"/>
      <c r="K218" s="131">
        <f>I218-J218</f>
        <v>150</v>
      </c>
      <c r="L218" s="131"/>
      <c r="M218" s="131"/>
      <c r="N218" s="131"/>
      <c r="O218" s="104"/>
      <c r="P218" s="300"/>
      <c r="Q218" s="138" t="s">
        <v>124</v>
      </c>
      <c r="R218" s="139">
        <v>50</v>
      </c>
      <c r="S218" s="124"/>
      <c r="T218" s="125"/>
    </row>
    <row r="219" spans="1:21" ht="15">
      <c r="A219" s="137"/>
      <c r="B219" s="127"/>
      <c r="C219" s="132"/>
      <c r="D219" s="132"/>
      <c r="E219" s="133" t="s">
        <v>34</v>
      </c>
      <c r="F219" s="131">
        <v>150</v>
      </c>
      <c r="G219" s="131">
        <v>150</v>
      </c>
      <c r="H219" s="131">
        <v>150</v>
      </c>
      <c r="I219" s="131">
        <v>150</v>
      </c>
      <c r="J219" s="131"/>
      <c r="K219" s="131">
        <f>I219-J219</f>
        <v>150</v>
      </c>
      <c r="L219" s="131"/>
      <c r="M219" s="131"/>
      <c r="N219" s="131"/>
      <c r="O219" s="104"/>
      <c r="P219" s="300"/>
      <c r="Q219" s="138" t="s">
        <v>124</v>
      </c>
      <c r="R219" s="139">
        <v>50</v>
      </c>
      <c r="S219" s="124"/>
      <c r="T219" s="125"/>
      <c r="U219" s="134" t="e">
        <f>G219-'[2]ДЦП Благоуст. (29.01.13 с изм.)'!$S$132</f>
        <v>#REF!</v>
      </c>
    </row>
    <row r="220" spans="1:20" ht="15">
      <c r="A220" s="117" t="s">
        <v>142</v>
      </c>
      <c r="B220" s="118" t="s">
        <v>143</v>
      </c>
      <c r="C220" s="119">
        <f>C221+C222+C223</f>
        <v>0</v>
      </c>
      <c r="D220" s="119">
        <f>D221+D222+D223</f>
        <v>0</v>
      </c>
      <c r="E220" s="120" t="s">
        <v>30</v>
      </c>
      <c r="F220" s="121">
        <f>L220+I220</f>
        <v>0</v>
      </c>
      <c r="G220" s="121">
        <f aca="true" t="shared" si="55" ref="G220:L220">G221+G222+G223</f>
        <v>4753</v>
      </c>
      <c r="H220" s="121">
        <f t="shared" si="55"/>
        <v>2200</v>
      </c>
      <c r="I220" s="121">
        <f t="shared" si="55"/>
        <v>0</v>
      </c>
      <c r="J220" s="121">
        <f t="shared" si="55"/>
        <v>0</v>
      </c>
      <c r="K220" s="121">
        <f t="shared" si="55"/>
        <v>0</v>
      </c>
      <c r="L220" s="121">
        <f t="shared" si="55"/>
        <v>0</v>
      </c>
      <c r="M220" s="121"/>
      <c r="N220" s="121"/>
      <c r="O220" s="104"/>
      <c r="P220" s="300"/>
      <c r="Q220" s="122" t="s">
        <v>61</v>
      </c>
      <c r="R220" s="135">
        <f>SUM(R221:R223)</f>
        <v>150</v>
      </c>
      <c r="S220" s="124"/>
      <c r="T220" s="125" t="str">
        <f>'[1]ДЦП Благоуст. (29.01.13 с изм.)'!E228</f>
        <v>2013-2015 годы</v>
      </c>
    </row>
    <row r="221" spans="1:20" ht="15">
      <c r="A221" s="137"/>
      <c r="B221" s="127"/>
      <c r="C221" s="128"/>
      <c r="D221" s="128"/>
      <c r="E221" s="129" t="s">
        <v>32</v>
      </c>
      <c r="F221" s="130"/>
      <c r="G221" s="130">
        <v>1512</v>
      </c>
      <c r="H221" s="130">
        <v>1000</v>
      </c>
      <c r="I221" s="130"/>
      <c r="J221" s="130"/>
      <c r="K221" s="130">
        <f>I221-J221</f>
        <v>0</v>
      </c>
      <c r="L221" s="131"/>
      <c r="M221" s="131"/>
      <c r="N221" s="131"/>
      <c r="O221" s="104"/>
      <c r="P221" s="300"/>
      <c r="Q221" s="138" t="s">
        <v>61</v>
      </c>
      <c r="R221" s="139">
        <v>70</v>
      </c>
      <c r="S221" s="124"/>
      <c r="T221" s="125"/>
    </row>
    <row r="222" spans="1:20" ht="15">
      <c r="A222" s="137"/>
      <c r="B222" s="127"/>
      <c r="C222" s="132"/>
      <c r="D222" s="132"/>
      <c r="E222" s="133" t="s">
        <v>33</v>
      </c>
      <c r="F222" s="131"/>
      <c r="G222" s="131">
        <f>ROUND((G221*1.048),0)</f>
        <v>1585</v>
      </c>
      <c r="H222" s="131">
        <v>700</v>
      </c>
      <c r="I222" s="131"/>
      <c r="J222" s="131"/>
      <c r="K222" s="131">
        <f>I222-J222</f>
        <v>0</v>
      </c>
      <c r="L222" s="131"/>
      <c r="M222" s="131"/>
      <c r="N222" s="131"/>
      <c r="O222" s="104"/>
      <c r="P222" s="300"/>
      <c r="Q222" s="138" t="s">
        <v>61</v>
      </c>
      <c r="R222" s="139">
        <v>50</v>
      </c>
      <c r="S222" s="124"/>
      <c r="T222" s="125"/>
    </row>
    <row r="223" spans="1:21" ht="15">
      <c r="A223" s="137"/>
      <c r="B223" s="127"/>
      <c r="C223" s="132"/>
      <c r="D223" s="132"/>
      <c r="E223" s="133" t="s">
        <v>34</v>
      </c>
      <c r="F223" s="131"/>
      <c r="G223" s="131">
        <f>ROUND((G222*1.045),0)</f>
        <v>1656</v>
      </c>
      <c r="H223" s="131">
        <v>500</v>
      </c>
      <c r="I223" s="131"/>
      <c r="J223" s="131"/>
      <c r="K223" s="131">
        <f>I223-J223</f>
        <v>0</v>
      </c>
      <c r="L223" s="131"/>
      <c r="M223" s="131"/>
      <c r="N223" s="131"/>
      <c r="O223" s="104"/>
      <c r="P223" s="300"/>
      <c r="Q223" s="138" t="s">
        <v>61</v>
      </c>
      <c r="R223" s="139">
        <v>30</v>
      </c>
      <c r="S223" s="124"/>
      <c r="T223" s="125"/>
      <c r="U223" s="134" t="e">
        <f>G223-'[2]ДЦП Благоуст. (29.01.13 с изм.)'!$S$188</f>
        <v>#REF!</v>
      </c>
    </row>
    <row r="224" spans="1:20" ht="30">
      <c r="A224" s="117" t="s">
        <v>144</v>
      </c>
      <c r="B224" s="118" t="s">
        <v>145</v>
      </c>
      <c r="C224" s="119">
        <f>C225+C226+C227</f>
        <v>0</v>
      </c>
      <c r="D224" s="119">
        <f>D225+D226+D227</f>
        <v>0</v>
      </c>
      <c r="E224" s="120" t="s">
        <v>30</v>
      </c>
      <c r="F224" s="121">
        <f>L224+I224</f>
        <v>0</v>
      </c>
      <c r="G224" s="121">
        <f aca="true" t="shared" si="56" ref="G224:L224">G225+G226+G227</f>
        <v>629</v>
      </c>
      <c r="H224" s="121">
        <f t="shared" si="56"/>
        <v>629</v>
      </c>
      <c r="I224" s="121">
        <f t="shared" si="56"/>
        <v>0</v>
      </c>
      <c r="J224" s="121">
        <f t="shared" si="56"/>
        <v>0</v>
      </c>
      <c r="K224" s="121">
        <f t="shared" si="56"/>
        <v>0</v>
      </c>
      <c r="L224" s="121">
        <f t="shared" si="56"/>
        <v>0</v>
      </c>
      <c r="M224" s="121"/>
      <c r="N224" s="121"/>
      <c r="O224" s="104"/>
      <c r="P224" s="300"/>
      <c r="Q224" s="122" t="s">
        <v>61</v>
      </c>
      <c r="R224" s="135">
        <f>R225+R226+R227</f>
        <v>24</v>
      </c>
      <c r="S224" s="124"/>
      <c r="T224" s="125" t="str">
        <f>'[1]ДЦП Благоуст. (29.01.13 с изм.)'!E191</f>
        <v>2015 год</v>
      </c>
    </row>
    <row r="225" spans="1:20" ht="15">
      <c r="A225" s="137"/>
      <c r="B225" s="127"/>
      <c r="C225" s="128"/>
      <c r="D225" s="128"/>
      <c r="E225" s="129" t="s">
        <v>32</v>
      </c>
      <c r="F225" s="130">
        <v>200</v>
      </c>
      <c r="G225" s="130">
        <v>200</v>
      </c>
      <c r="H225" s="130">
        <v>200</v>
      </c>
      <c r="I225" s="130"/>
      <c r="J225" s="130"/>
      <c r="K225" s="130">
        <f>I225-J225</f>
        <v>0</v>
      </c>
      <c r="L225" s="131"/>
      <c r="M225" s="131"/>
      <c r="N225" s="131"/>
      <c r="O225" s="104"/>
      <c r="P225" s="300"/>
      <c r="Q225" s="122" t="s">
        <v>61</v>
      </c>
      <c r="R225" s="135">
        <v>10</v>
      </c>
      <c r="S225" s="124"/>
      <c r="T225" s="125"/>
    </row>
    <row r="226" spans="1:20" ht="15">
      <c r="A226" s="137"/>
      <c r="B226" s="127"/>
      <c r="C226" s="132"/>
      <c r="D226" s="132"/>
      <c r="E226" s="133" t="s">
        <v>33</v>
      </c>
      <c r="F226" s="131"/>
      <c r="G226" s="131">
        <f>ROUND((G225*1.048),0)</f>
        <v>210</v>
      </c>
      <c r="H226" s="131">
        <f>ROUND((H225*1.048),0)</f>
        <v>210</v>
      </c>
      <c r="I226" s="131"/>
      <c r="J226" s="131"/>
      <c r="K226" s="131">
        <f>I226-J226</f>
        <v>0</v>
      </c>
      <c r="L226" s="131"/>
      <c r="M226" s="131"/>
      <c r="N226" s="131"/>
      <c r="O226" s="104"/>
      <c r="P226" s="300"/>
      <c r="Q226" s="122" t="s">
        <v>61</v>
      </c>
      <c r="R226" s="135">
        <v>8</v>
      </c>
      <c r="S226" s="124"/>
      <c r="T226" s="125"/>
    </row>
    <row r="227" spans="1:21" ht="15">
      <c r="A227" s="137"/>
      <c r="B227" s="127"/>
      <c r="C227" s="132"/>
      <c r="D227" s="132"/>
      <c r="E227" s="133" t="s">
        <v>34</v>
      </c>
      <c r="F227" s="131"/>
      <c r="G227" s="131">
        <f>ROUND((G226*1.045),0)</f>
        <v>219</v>
      </c>
      <c r="H227" s="131">
        <f>ROUND((H226*1.045),0)</f>
        <v>219</v>
      </c>
      <c r="I227" s="131"/>
      <c r="J227" s="131"/>
      <c r="K227" s="131">
        <f>I227-J227</f>
        <v>0</v>
      </c>
      <c r="L227" s="131"/>
      <c r="M227" s="131"/>
      <c r="N227" s="131"/>
      <c r="O227" s="104"/>
      <c r="P227" s="300"/>
      <c r="Q227" s="122" t="s">
        <v>61</v>
      </c>
      <c r="R227" s="135">
        <v>6</v>
      </c>
      <c r="S227" s="124"/>
      <c r="T227" s="125"/>
      <c r="U227" s="134" t="e">
        <f>G227-'[2]ДЦП Благоуст. (29.01.13 с изм.)'!$S$130</f>
        <v>#REF!</v>
      </c>
    </row>
    <row r="228" spans="1:20" ht="15">
      <c r="A228" s="117" t="s">
        <v>146</v>
      </c>
      <c r="B228" s="118" t="s">
        <v>147</v>
      </c>
      <c r="C228" s="119">
        <f>C229+C230+C231</f>
        <v>0</v>
      </c>
      <c r="D228" s="119">
        <f>D229+D230+D231</f>
        <v>498.5</v>
      </c>
      <c r="E228" s="120" t="s">
        <v>30</v>
      </c>
      <c r="F228" s="121">
        <f>L228+I228</f>
        <v>499</v>
      </c>
      <c r="G228" s="121">
        <f aca="true" t="shared" si="57" ref="G228:L228">G229+G230+G231</f>
        <v>2514</v>
      </c>
      <c r="H228" s="121">
        <f t="shared" si="57"/>
        <v>800</v>
      </c>
      <c r="I228" s="121">
        <f t="shared" si="57"/>
        <v>499</v>
      </c>
      <c r="J228" s="121">
        <f t="shared" si="57"/>
        <v>499</v>
      </c>
      <c r="K228" s="121">
        <f t="shared" si="57"/>
        <v>0</v>
      </c>
      <c r="L228" s="121">
        <f t="shared" si="57"/>
        <v>0</v>
      </c>
      <c r="M228" s="121"/>
      <c r="N228" s="121"/>
      <c r="O228" s="104"/>
      <c r="P228" s="300"/>
      <c r="Q228" s="122" t="s">
        <v>61</v>
      </c>
      <c r="R228" s="135">
        <v>1</v>
      </c>
      <c r="S228" s="124"/>
      <c r="T228" s="125" t="str">
        <f>'[1]ДЦП Благоуст. (29.01.13 с изм.)'!E197</f>
        <v>2013 год</v>
      </c>
    </row>
    <row r="229" spans="1:20" ht="15">
      <c r="A229" s="137"/>
      <c r="B229" s="127"/>
      <c r="C229" s="128"/>
      <c r="D229" s="128">
        <v>498.5</v>
      </c>
      <c r="E229" s="129" t="s">
        <v>32</v>
      </c>
      <c r="F229" s="130"/>
      <c r="G229" s="130">
        <v>800</v>
      </c>
      <c r="H229" s="130"/>
      <c r="I229" s="130">
        <v>499</v>
      </c>
      <c r="J229" s="130">
        <v>499</v>
      </c>
      <c r="K229" s="130">
        <f>I229-J229</f>
        <v>0</v>
      </c>
      <c r="L229" s="131"/>
      <c r="M229" s="131"/>
      <c r="N229" s="131"/>
      <c r="O229" s="104"/>
      <c r="P229" s="300"/>
      <c r="Q229" s="138" t="s">
        <v>61</v>
      </c>
      <c r="R229" s="139">
        <v>1</v>
      </c>
      <c r="S229" s="124"/>
      <c r="T229" s="125"/>
    </row>
    <row r="230" spans="1:20" ht="15">
      <c r="A230" s="137"/>
      <c r="B230" s="127"/>
      <c r="C230" s="132"/>
      <c r="D230" s="132"/>
      <c r="E230" s="133" t="s">
        <v>33</v>
      </c>
      <c r="F230" s="131"/>
      <c r="G230" s="131">
        <f>ROUND((G229*1.048),0)</f>
        <v>838</v>
      </c>
      <c r="H230" s="131">
        <v>800</v>
      </c>
      <c r="I230" s="131"/>
      <c r="J230" s="131"/>
      <c r="K230" s="131">
        <f>I230-J230</f>
        <v>0</v>
      </c>
      <c r="L230" s="131"/>
      <c r="M230" s="131"/>
      <c r="N230" s="131"/>
      <c r="O230" s="104"/>
      <c r="P230" s="300"/>
      <c r="Q230" s="122"/>
      <c r="R230" s="135" t="s">
        <v>148</v>
      </c>
      <c r="S230" s="124"/>
      <c r="T230" s="125"/>
    </row>
    <row r="231" spans="1:21" ht="15">
      <c r="A231" s="137"/>
      <c r="B231" s="127"/>
      <c r="C231" s="132"/>
      <c r="D231" s="132"/>
      <c r="E231" s="133" t="s">
        <v>34</v>
      </c>
      <c r="F231" s="131"/>
      <c r="G231" s="131">
        <f>ROUND((G230*1.045),0)</f>
        <v>876</v>
      </c>
      <c r="H231" s="131"/>
      <c r="I231" s="131"/>
      <c r="J231" s="131"/>
      <c r="K231" s="131">
        <f>I231-J231</f>
        <v>0</v>
      </c>
      <c r="L231" s="131"/>
      <c r="M231" s="131"/>
      <c r="N231" s="131"/>
      <c r="O231" s="104"/>
      <c r="P231" s="300"/>
      <c r="Q231" s="122"/>
      <c r="R231" s="135" t="s">
        <v>148</v>
      </c>
      <c r="S231" s="124"/>
      <c r="T231" s="125"/>
      <c r="U231" s="134" t="e">
        <f>G231-'[2]ДЦП Благоуст. (29.01.13 с изм.)'!$S$136</f>
        <v>#REF!</v>
      </c>
    </row>
    <row r="232" spans="1:20" ht="15">
      <c r="A232" s="117" t="s">
        <v>149</v>
      </c>
      <c r="B232" s="118" t="s">
        <v>150</v>
      </c>
      <c r="C232" s="119">
        <f>C233+C234+C235</f>
        <v>0</v>
      </c>
      <c r="D232" s="119">
        <f>D233+D234+D235</f>
        <v>0</v>
      </c>
      <c r="E232" s="120" t="s">
        <v>30</v>
      </c>
      <c r="F232" s="121">
        <f>L232+I232</f>
        <v>0</v>
      </c>
      <c r="G232" s="121">
        <f aca="true" t="shared" si="58" ref="G232:L232">G233+G234+G235</f>
        <v>9000</v>
      </c>
      <c r="H232" s="121">
        <f t="shared" si="58"/>
        <v>9000</v>
      </c>
      <c r="I232" s="121">
        <f t="shared" si="58"/>
        <v>0</v>
      </c>
      <c r="J232" s="121">
        <f t="shared" si="58"/>
        <v>0</v>
      </c>
      <c r="K232" s="121">
        <f t="shared" si="58"/>
        <v>0</v>
      </c>
      <c r="L232" s="121">
        <f t="shared" si="58"/>
        <v>0</v>
      </c>
      <c r="M232" s="121"/>
      <c r="N232" s="121"/>
      <c r="O232" s="104"/>
      <c r="P232" s="300"/>
      <c r="Q232" s="122" t="s">
        <v>58</v>
      </c>
      <c r="R232" s="135">
        <f>R235</f>
        <v>1672</v>
      </c>
      <c r="S232" s="124"/>
      <c r="T232" s="125"/>
    </row>
    <row r="233" spans="1:20" ht="15">
      <c r="A233" s="137"/>
      <c r="B233" s="127"/>
      <c r="C233" s="128"/>
      <c r="D233" s="128"/>
      <c r="E233" s="129" t="s">
        <v>32</v>
      </c>
      <c r="F233" s="130"/>
      <c r="G233" s="130"/>
      <c r="H233" s="130"/>
      <c r="I233" s="130"/>
      <c r="J233" s="130"/>
      <c r="K233" s="130">
        <f>I233-J233</f>
        <v>0</v>
      </c>
      <c r="L233" s="131"/>
      <c r="M233" s="131"/>
      <c r="N233" s="131"/>
      <c r="O233" s="104"/>
      <c r="P233" s="300"/>
      <c r="Q233" s="138"/>
      <c r="R233" s="139"/>
      <c r="S233" s="124"/>
      <c r="T233" s="125"/>
    </row>
    <row r="234" spans="1:20" ht="15">
      <c r="A234" s="137"/>
      <c r="B234" s="127"/>
      <c r="C234" s="132"/>
      <c r="D234" s="132"/>
      <c r="E234" s="133" t="s">
        <v>33</v>
      </c>
      <c r="F234" s="131"/>
      <c r="G234" s="131"/>
      <c r="H234" s="131"/>
      <c r="I234" s="131"/>
      <c r="J234" s="131"/>
      <c r="K234" s="131">
        <f>I234-J234</f>
        <v>0</v>
      </c>
      <c r="L234" s="131"/>
      <c r="M234" s="131"/>
      <c r="N234" s="131"/>
      <c r="O234" s="104"/>
      <c r="P234" s="300"/>
      <c r="Q234" s="138"/>
      <c r="R234" s="139"/>
      <c r="S234" s="124"/>
      <c r="T234" s="125"/>
    </row>
    <row r="235" spans="1:21" ht="15" outlineLevel="1">
      <c r="A235" s="188"/>
      <c r="B235" s="127"/>
      <c r="C235" s="227"/>
      <c r="D235" s="227"/>
      <c r="E235" s="133" t="s">
        <v>34</v>
      </c>
      <c r="F235" s="131"/>
      <c r="G235" s="195">
        <f>9000</f>
        <v>9000</v>
      </c>
      <c r="H235" s="195">
        <f>9000</f>
        <v>9000</v>
      </c>
      <c r="I235" s="195"/>
      <c r="J235" s="195"/>
      <c r="K235" s="131">
        <f>I235-J235</f>
        <v>0</v>
      </c>
      <c r="L235" s="131"/>
      <c r="M235" s="195"/>
      <c r="N235" s="195"/>
      <c r="O235" s="104"/>
      <c r="P235" s="300"/>
      <c r="Q235" s="138" t="s">
        <v>58</v>
      </c>
      <c r="R235" s="139">
        <v>1672</v>
      </c>
      <c r="S235" s="124"/>
      <c r="T235" s="125"/>
      <c r="U235" s="134">
        <f>G235-'[2]ДЦП Благоуст. (29.01.13 с изм.)'!$S$189</f>
        <v>-2991000</v>
      </c>
    </row>
    <row r="236" spans="1:20" ht="15">
      <c r="A236" s="117" t="s">
        <v>151</v>
      </c>
      <c r="B236" s="228" t="s">
        <v>152</v>
      </c>
      <c r="C236" s="119">
        <f>C237+C238+C239</f>
        <v>0</v>
      </c>
      <c r="D236" s="119">
        <f>D237+D238+D239</f>
        <v>0</v>
      </c>
      <c r="E236" s="120" t="s">
        <v>30</v>
      </c>
      <c r="F236" s="121">
        <f>L236+I236</f>
        <v>0</v>
      </c>
      <c r="G236" s="121">
        <f aca="true" t="shared" si="59" ref="G236:L236">G237+G238+G239</f>
        <v>3500</v>
      </c>
      <c r="H236" s="121">
        <f t="shared" si="59"/>
        <v>3500</v>
      </c>
      <c r="I236" s="121">
        <f t="shared" si="59"/>
        <v>0</v>
      </c>
      <c r="J236" s="121">
        <f t="shared" si="59"/>
        <v>0</v>
      </c>
      <c r="K236" s="121">
        <f t="shared" si="59"/>
        <v>0</v>
      </c>
      <c r="L236" s="121">
        <f t="shared" si="59"/>
        <v>0</v>
      </c>
      <c r="M236" s="121"/>
      <c r="N236" s="121"/>
      <c r="O236" s="104"/>
      <c r="P236" s="300"/>
      <c r="Q236" s="122" t="s">
        <v>58</v>
      </c>
      <c r="R236" s="135">
        <f>R239</f>
        <v>1737</v>
      </c>
      <c r="S236" s="124"/>
      <c r="T236" s="125"/>
    </row>
    <row r="237" spans="1:20" ht="15">
      <c r="A237" s="137"/>
      <c r="B237" s="127"/>
      <c r="C237" s="128"/>
      <c r="D237" s="128"/>
      <c r="E237" s="129" t="s">
        <v>32</v>
      </c>
      <c r="F237" s="130"/>
      <c r="G237" s="130"/>
      <c r="H237" s="130">
        <f>430*3.05-11.5</f>
        <v>1300</v>
      </c>
      <c r="I237" s="130"/>
      <c r="J237" s="130"/>
      <c r="K237" s="130">
        <f>I237-J237</f>
        <v>0</v>
      </c>
      <c r="L237" s="131"/>
      <c r="M237" s="131"/>
      <c r="N237" s="131"/>
      <c r="O237" s="104"/>
      <c r="P237" s="300"/>
      <c r="Q237" s="138" t="s">
        <v>58</v>
      </c>
      <c r="R237" s="139">
        <v>430</v>
      </c>
      <c r="S237" s="124"/>
      <c r="T237" s="125"/>
    </row>
    <row r="238" spans="1:20" ht="15">
      <c r="A238" s="137"/>
      <c r="B238" s="127"/>
      <c r="C238" s="132"/>
      <c r="D238" s="132"/>
      <c r="E238" s="133" t="s">
        <v>33</v>
      </c>
      <c r="F238" s="131"/>
      <c r="G238" s="131"/>
      <c r="H238" s="131"/>
      <c r="I238" s="131"/>
      <c r="J238" s="131"/>
      <c r="K238" s="131">
        <f>I238-J238</f>
        <v>0</v>
      </c>
      <c r="L238" s="131"/>
      <c r="M238" s="131"/>
      <c r="N238" s="131"/>
      <c r="O238" s="104"/>
      <c r="P238" s="300"/>
      <c r="Q238" s="138"/>
      <c r="R238" s="139"/>
      <c r="S238" s="124"/>
      <c r="T238" s="125"/>
    </row>
    <row r="239" spans="1:21" ht="15" outlineLevel="1">
      <c r="A239" s="188"/>
      <c r="B239" s="127"/>
      <c r="C239" s="227"/>
      <c r="D239" s="227"/>
      <c r="E239" s="133" t="s">
        <v>34</v>
      </c>
      <c r="F239" s="131"/>
      <c r="G239" s="195">
        <f>1500+2000</f>
        <v>3500</v>
      </c>
      <c r="H239" s="195">
        <f>1500+2000-1300</f>
        <v>2200</v>
      </c>
      <c r="I239" s="195"/>
      <c r="J239" s="195"/>
      <c r="K239" s="131">
        <f>I239-J239</f>
        <v>0</v>
      </c>
      <c r="L239" s="131"/>
      <c r="M239" s="195"/>
      <c r="N239" s="195"/>
      <c r="O239" s="104"/>
      <c r="P239" s="300"/>
      <c r="Q239" s="138" t="s">
        <v>58</v>
      </c>
      <c r="R239" s="139">
        <f>457+1280</f>
        <v>1737</v>
      </c>
      <c r="S239" s="124"/>
      <c r="T239" s="125"/>
      <c r="U239" s="134" t="e">
        <f>G239-'[2]ДЦП Благоуст. (29.01.13 с изм.)'!$S$192</f>
        <v>#REF!</v>
      </c>
    </row>
    <row r="240" spans="1:20" ht="15">
      <c r="A240" s="117" t="s">
        <v>153</v>
      </c>
      <c r="B240" s="228" t="s">
        <v>154</v>
      </c>
      <c r="C240" s="119">
        <f>C241+C242+C243</f>
        <v>175.4</v>
      </c>
      <c r="D240" s="119">
        <f>D241+D242+D243</f>
        <v>4969.1</v>
      </c>
      <c r="E240" s="120" t="s">
        <v>30</v>
      </c>
      <c r="F240" s="121">
        <f>L240+I240</f>
        <v>4621</v>
      </c>
      <c r="G240" s="121">
        <f aca="true" t="shared" si="60" ref="G240:L240">G241+G242+G243</f>
        <v>0</v>
      </c>
      <c r="H240" s="121">
        <f t="shared" si="60"/>
        <v>0</v>
      </c>
      <c r="I240" s="121">
        <f t="shared" si="60"/>
        <v>4621</v>
      </c>
      <c r="J240" s="121">
        <f t="shared" si="60"/>
        <v>4621</v>
      </c>
      <c r="K240" s="121">
        <f t="shared" si="60"/>
        <v>0</v>
      </c>
      <c r="L240" s="121">
        <f t="shared" si="60"/>
        <v>0</v>
      </c>
      <c r="M240" s="121"/>
      <c r="N240" s="121"/>
      <c r="O240" s="104"/>
      <c r="P240" s="300"/>
      <c r="Q240" s="122" t="s">
        <v>58</v>
      </c>
      <c r="R240" s="135">
        <f>R243</f>
        <v>0</v>
      </c>
      <c r="S240" s="124"/>
      <c r="T240" s="125"/>
    </row>
    <row r="241" spans="1:20" ht="15">
      <c r="A241" s="137"/>
      <c r="B241" s="229"/>
      <c r="C241" s="128">
        <f>97.4+78</f>
        <v>175.4</v>
      </c>
      <c r="D241" s="128">
        <f>597+99.5+100+99.1+292.1+77.8+95.2+453+2855.4+300</f>
        <v>4969.1</v>
      </c>
      <c r="E241" s="129" t="s">
        <v>32</v>
      </c>
      <c r="F241" s="130"/>
      <c r="G241" s="130"/>
      <c r="H241" s="130"/>
      <c r="I241" s="130">
        <f>4526+95</f>
        <v>4621</v>
      </c>
      <c r="J241" s="130">
        <f>4526+95</f>
        <v>4621</v>
      </c>
      <c r="K241" s="130">
        <f>I241-J241</f>
        <v>0</v>
      </c>
      <c r="L241" s="131"/>
      <c r="M241" s="131"/>
      <c r="N241" s="131"/>
      <c r="O241" s="104"/>
      <c r="P241" s="300"/>
      <c r="Q241" s="138"/>
      <c r="R241" s="139"/>
      <c r="S241" s="124"/>
      <c r="T241" s="125"/>
    </row>
    <row r="242" spans="1:20" ht="15">
      <c r="A242" s="137"/>
      <c r="B242" s="127"/>
      <c r="C242" s="132"/>
      <c r="D242" s="132"/>
      <c r="E242" s="133" t="s">
        <v>33</v>
      </c>
      <c r="F242" s="131"/>
      <c r="G242" s="131"/>
      <c r="H242" s="131"/>
      <c r="I242" s="131"/>
      <c r="J242" s="131"/>
      <c r="K242" s="131">
        <f>I242-J242</f>
        <v>0</v>
      </c>
      <c r="L242" s="131"/>
      <c r="M242" s="131"/>
      <c r="N242" s="131"/>
      <c r="O242" s="104"/>
      <c r="P242" s="300"/>
      <c r="Q242" s="138"/>
      <c r="R242" s="139"/>
      <c r="S242" s="124"/>
      <c r="T242" s="125"/>
    </row>
    <row r="243" spans="1:20" ht="15" outlineLevel="1">
      <c r="A243" s="188"/>
      <c r="B243" s="127"/>
      <c r="C243" s="227"/>
      <c r="D243" s="227"/>
      <c r="E243" s="133" t="s">
        <v>34</v>
      </c>
      <c r="F243" s="131"/>
      <c r="G243" s="195"/>
      <c r="H243" s="195"/>
      <c r="I243" s="195"/>
      <c r="J243" s="195"/>
      <c r="K243" s="131">
        <f>I243-J243</f>
        <v>0</v>
      </c>
      <c r="L243" s="131"/>
      <c r="M243" s="195"/>
      <c r="N243" s="195"/>
      <c r="O243" s="230"/>
      <c r="P243" s="301"/>
      <c r="Q243" s="138"/>
      <c r="R243" s="139"/>
      <c r="S243" s="124"/>
      <c r="T243" s="125"/>
    </row>
    <row r="244" spans="1:20" s="150" customFormat="1" ht="14.25" customHeight="1" hidden="1">
      <c r="A244" s="140" t="s">
        <v>155</v>
      </c>
      <c r="B244" s="141" t="s">
        <v>63</v>
      </c>
      <c r="C244" s="142">
        <f>SUM(C245:C254)</f>
        <v>0</v>
      </c>
      <c r="D244" s="142">
        <f>SUM(D245:D254)</f>
        <v>0</v>
      </c>
      <c r="E244" s="143" t="s">
        <v>32</v>
      </c>
      <c r="F244" s="145">
        <f aca="true" t="shared" si="61" ref="F244:N244">SUM(F245:F254)</f>
        <v>1800</v>
      </c>
      <c r="G244" s="145">
        <f t="shared" si="61"/>
        <v>46601.63388</v>
      </c>
      <c r="H244" s="145">
        <f t="shared" si="61"/>
        <v>23361.123880000003</v>
      </c>
      <c r="I244" s="145"/>
      <c r="J244" s="145">
        <f t="shared" si="61"/>
        <v>0</v>
      </c>
      <c r="K244" s="145"/>
      <c r="L244" s="145">
        <f t="shared" si="61"/>
        <v>0</v>
      </c>
      <c r="M244" s="145">
        <f t="shared" si="61"/>
        <v>0</v>
      </c>
      <c r="N244" s="145">
        <f t="shared" si="61"/>
        <v>0</v>
      </c>
      <c r="O244" s="231"/>
      <c r="P244" s="232"/>
      <c r="Q244" s="146"/>
      <c r="R244" s="147"/>
      <c r="S244" s="148"/>
      <c r="T244" s="149" t="str">
        <f>'[1]ДЦП Благоуст. (29.01.13 с изм.)'!E212</f>
        <v>2013-2015 годы</v>
      </c>
    </row>
    <row r="245" spans="1:20" s="99" customFormat="1" ht="15" hidden="1">
      <c r="A245" s="198"/>
      <c r="B245" s="199" t="s">
        <v>156</v>
      </c>
      <c r="C245" s="232"/>
      <c r="D245" s="232"/>
      <c r="E245" s="199"/>
      <c r="F245" s="157">
        <f>L245+I245</f>
        <v>0</v>
      </c>
      <c r="G245" s="233">
        <v>1276.07169</v>
      </c>
      <c r="H245" s="233">
        <v>1276.07169</v>
      </c>
      <c r="I245" s="233"/>
      <c r="J245" s="233"/>
      <c r="K245" s="233"/>
      <c r="L245" s="157"/>
      <c r="M245" s="157"/>
      <c r="N245" s="157"/>
      <c r="O245" s="234"/>
      <c r="P245" s="197"/>
      <c r="Q245" s="158"/>
      <c r="R245" s="159"/>
      <c r="S245" s="160"/>
      <c r="T245" s="161" t="str">
        <f>'[1]ДЦП Благоуст. (29.01.13 с изм.)'!E136</f>
        <v>2013-2015 годы</v>
      </c>
    </row>
    <row r="246" spans="1:20" s="99" customFormat="1" ht="15" hidden="1">
      <c r="A246" s="235"/>
      <c r="B246" s="202" t="s">
        <v>157</v>
      </c>
      <c r="C246" s="197"/>
      <c r="D246" s="197"/>
      <c r="E246" s="202"/>
      <c r="F246" s="168">
        <f>L246+I246</f>
        <v>0</v>
      </c>
      <c r="G246" s="236">
        <v>36.875</v>
      </c>
      <c r="H246" s="236">
        <v>36.875</v>
      </c>
      <c r="I246" s="236"/>
      <c r="J246" s="236"/>
      <c r="K246" s="236"/>
      <c r="L246" s="168"/>
      <c r="M246" s="168"/>
      <c r="N246" s="168"/>
      <c r="O246" s="234"/>
      <c r="P246" s="197"/>
      <c r="Q246" s="169"/>
      <c r="R246" s="170"/>
      <c r="S246" s="160"/>
      <c r="T246" s="161" t="str">
        <f>'[1]ДЦП Благоуст. (29.01.13 с изм.)'!E140</f>
        <v>2013-2015 годы</v>
      </c>
    </row>
    <row r="247" spans="1:20" s="99" customFormat="1" ht="15" hidden="1">
      <c r="A247" s="235"/>
      <c r="B247" s="202" t="s">
        <v>158</v>
      </c>
      <c r="C247" s="197"/>
      <c r="D247" s="197"/>
      <c r="E247" s="202"/>
      <c r="F247" s="168">
        <f>L247+I247</f>
        <v>0</v>
      </c>
      <c r="G247" s="236">
        <v>427.5987</v>
      </c>
      <c r="H247" s="236">
        <v>427.5987</v>
      </c>
      <c r="I247" s="236"/>
      <c r="J247" s="236"/>
      <c r="K247" s="236"/>
      <c r="L247" s="168"/>
      <c r="M247" s="168"/>
      <c r="N247" s="168"/>
      <c r="O247" s="234"/>
      <c r="P247" s="197"/>
      <c r="Q247" s="169"/>
      <c r="R247" s="170"/>
      <c r="S247" s="160"/>
      <c r="T247" s="161" t="str">
        <f>'[1]ДЦП Благоуст. (29.01.13 с изм.)'!E147</f>
        <v>2015 год</v>
      </c>
    </row>
    <row r="248" spans="1:20" s="99" customFormat="1" ht="15" hidden="1">
      <c r="A248" s="235"/>
      <c r="B248" s="202" t="s">
        <v>159</v>
      </c>
      <c r="C248" s="197"/>
      <c r="D248" s="197"/>
      <c r="E248" s="202"/>
      <c r="F248" s="168">
        <f>L248+I248</f>
        <v>0</v>
      </c>
      <c r="G248" s="236">
        <v>2103.24</v>
      </c>
      <c r="H248" s="236">
        <v>2103.24</v>
      </c>
      <c r="I248" s="236"/>
      <c r="J248" s="236"/>
      <c r="K248" s="236"/>
      <c r="L248" s="168"/>
      <c r="M248" s="168"/>
      <c r="N248" s="168"/>
      <c r="O248" s="234"/>
      <c r="P248" s="197"/>
      <c r="Q248" s="169"/>
      <c r="R248" s="170"/>
      <c r="S248" s="160"/>
      <c r="T248" s="161" t="str">
        <f>'[1]ДЦП Благоуст. (29.01.13 с изм.)'!E148</f>
        <v>2013-2015 годы</v>
      </c>
    </row>
    <row r="249" spans="1:20" s="99" customFormat="1" ht="15" hidden="1">
      <c r="A249" s="204"/>
      <c r="B249" s="205" t="s">
        <v>160</v>
      </c>
      <c r="C249" s="208"/>
      <c r="D249" s="208"/>
      <c r="E249" s="205"/>
      <c r="F249" s="175">
        <v>1800</v>
      </c>
      <c r="G249" s="237">
        <v>38759.44</v>
      </c>
      <c r="H249" s="237">
        <v>15845.5</v>
      </c>
      <c r="I249" s="237"/>
      <c r="J249" s="237"/>
      <c r="K249" s="237"/>
      <c r="L249" s="176"/>
      <c r="M249" s="176"/>
      <c r="N249" s="176"/>
      <c r="O249" s="234"/>
      <c r="P249" s="208"/>
      <c r="Q249" s="177"/>
      <c r="R249" s="178"/>
      <c r="S249" s="160"/>
      <c r="T249" s="161" t="str">
        <f>'[1]ДЦП Благоуст. (29.01.13 с изм.)'!E149</f>
        <v>2013 год</v>
      </c>
    </row>
    <row r="250" spans="1:20" s="99" customFormat="1" ht="15" hidden="1">
      <c r="A250" s="235"/>
      <c r="B250" s="202" t="s">
        <v>161</v>
      </c>
      <c r="C250" s="197"/>
      <c r="D250" s="197"/>
      <c r="E250" s="202"/>
      <c r="F250" s="168">
        <f>L250+I250</f>
        <v>0</v>
      </c>
      <c r="G250" s="236">
        <v>2923.2151</v>
      </c>
      <c r="H250" s="236">
        <v>2923.2151</v>
      </c>
      <c r="I250" s="236"/>
      <c r="J250" s="236"/>
      <c r="K250" s="236"/>
      <c r="L250" s="168"/>
      <c r="M250" s="168"/>
      <c r="N250" s="168"/>
      <c r="O250" s="238"/>
      <c r="P250" s="197"/>
      <c r="Q250" s="169"/>
      <c r="R250" s="170"/>
      <c r="S250" s="160"/>
      <c r="T250" s="161" t="str">
        <f>'[1]ДЦП Благоуст. (29.01.13 с изм.)'!E176</f>
        <v>2013-2015 годы</v>
      </c>
    </row>
    <row r="251" spans="1:20" s="99" customFormat="1" ht="15" hidden="1">
      <c r="A251" s="235"/>
      <c r="B251" s="202" t="s">
        <v>162</v>
      </c>
      <c r="C251" s="197"/>
      <c r="D251" s="197"/>
      <c r="E251" s="202"/>
      <c r="F251" s="168">
        <f>L251+I251</f>
        <v>0</v>
      </c>
      <c r="G251" s="236">
        <v>747.541</v>
      </c>
      <c r="H251" s="236">
        <v>747.541</v>
      </c>
      <c r="I251" s="236"/>
      <c r="J251" s="236"/>
      <c r="K251" s="236"/>
      <c r="L251" s="168"/>
      <c r="M251" s="168"/>
      <c r="N251" s="168"/>
      <c r="O251" s="238"/>
      <c r="P251" s="197"/>
      <c r="Q251" s="169"/>
      <c r="R251" s="170"/>
      <c r="S251" s="160"/>
      <c r="T251" s="161" t="str">
        <f>'[1]ДЦП Благоуст. (29.01.13 с изм.)'!E177</f>
        <v>2013 год</v>
      </c>
    </row>
    <row r="252" spans="1:20" s="99" customFormat="1" ht="15" hidden="1">
      <c r="A252" s="235"/>
      <c r="B252" s="202" t="s">
        <v>163</v>
      </c>
      <c r="C252" s="197"/>
      <c r="D252" s="197"/>
      <c r="E252" s="202"/>
      <c r="F252" s="168">
        <f>L252+I252</f>
        <v>0</v>
      </c>
      <c r="G252" s="236">
        <v>300</v>
      </c>
      <c r="H252" s="236"/>
      <c r="I252" s="236"/>
      <c r="J252" s="236"/>
      <c r="K252" s="236"/>
      <c r="L252" s="168"/>
      <c r="M252" s="168"/>
      <c r="N252" s="168"/>
      <c r="O252" s="238"/>
      <c r="P252" s="197"/>
      <c r="Q252" s="169"/>
      <c r="R252" s="170"/>
      <c r="S252" s="160"/>
      <c r="T252" s="161" t="str">
        <f>'[1]ДЦП Благоуст. (29.01.13 с изм.)'!E224</f>
        <v>2013-2015 годы</v>
      </c>
    </row>
    <row r="253" spans="1:20" s="99" customFormat="1" ht="15" hidden="1">
      <c r="A253" s="235"/>
      <c r="B253" s="202" t="s">
        <v>164</v>
      </c>
      <c r="C253" s="197"/>
      <c r="D253" s="197"/>
      <c r="E253" s="202"/>
      <c r="F253" s="168">
        <f>L253+I253</f>
        <v>0</v>
      </c>
      <c r="G253" s="236">
        <v>1.0823900000000002</v>
      </c>
      <c r="H253" s="236">
        <v>1.0823900000000002</v>
      </c>
      <c r="I253" s="236"/>
      <c r="J253" s="236"/>
      <c r="K253" s="236"/>
      <c r="L253" s="168"/>
      <c r="M253" s="168"/>
      <c r="N253" s="168"/>
      <c r="O253" s="238"/>
      <c r="P253" s="197"/>
      <c r="Q253" s="169"/>
      <c r="R253" s="170"/>
      <c r="S253" s="160"/>
      <c r="T253" s="161" t="str">
        <f>'[1]ДЦП Благоуст. (29.01.13 с изм.)'!E226</f>
        <v>2014 год</v>
      </c>
    </row>
    <row r="254" spans="1:20" s="99" customFormat="1" ht="15">
      <c r="A254" s="204"/>
      <c r="B254" s="205"/>
      <c r="C254" s="173"/>
      <c r="D254" s="173"/>
      <c r="E254" s="205"/>
      <c r="F254" s="176"/>
      <c r="G254" s="214">
        <v>26.57</v>
      </c>
      <c r="H254" s="214"/>
      <c r="I254" s="214"/>
      <c r="J254" s="214"/>
      <c r="K254" s="214"/>
      <c r="L254" s="176"/>
      <c r="M254" s="176"/>
      <c r="N254" s="176"/>
      <c r="O254" s="238"/>
      <c r="P254" s="208"/>
      <c r="Q254" s="177"/>
      <c r="R254" s="178"/>
      <c r="S254" s="160"/>
      <c r="T254" s="161" t="str">
        <f>'[1]ДЦП Благоуст. (29.01.13 с изм.)'!E227</f>
        <v>2015 год</v>
      </c>
    </row>
    <row r="255" spans="2:15" ht="21" customHeight="1">
      <c r="B255" s="239" t="s">
        <v>165</v>
      </c>
      <c r="C255" s="240"/>
      <c r="D255" s="240"/>
      <c r="G255" s="241"/>
      <c r="H255" s="241"/>
      <c r="I255" s="241"/>
      <c r="J255" s="242"/>
      <c r="K255" s="242"/>
      <c r="O255" s="241"/>
    </row>
    <row r="256" spans="1:20" s="250" customFormat="1" ht="22.5" customHeight="1">
      <c r="A256" s="243"/>
      <c r="B256" s="244" t="s">
        <v>166</v>
      </c>
      <c r="C256" s="245"/>
      <c r="D256" s="245"/>
      <c r="E256" s="246"/>
      <c r="F256" s="247" t="s">
        <v>167</v>
      </c>
      <c r="G256" s="248"/>
      <c r="H256" s="248"/>
      <c r="I256" s="248"/>
      <c r="J256" s="248"/>
      <c r="K256" s="248"/>
      <c r="L256" s="248"/>
      <c r="M256" s="248"/>
      <c r="N256" s="248"/>
      <c r="O256" s="248"/>
      <c r="P256" s="243"/>
      <c r="Q256" s="243"/>
      <c r="R256" s="249"/>
      <c r="S256" s="247"/>
      <c r="T256" s="247"/>
    </row>
    <row r="257" spans="1:20" s="250" customFormat="1" ht="15.75">
      <c r="A257" s="243"/>
      <c r="B257" s="251" t="s">
        <v>168</v>
      </c>
      <c r="C257" s="245"/>
      <c r="D257" s="245"/>
      <c r="E257" s="252"/>
      <c r="F257" s="247" t="s">
        <v>169</v>
      </c>
      <c r="G257" s="248"/>
      <c r="H257" s="248"/>
      <c r="I257" s="248"/>
      <c r="J257" s="248"/>
      <c r="K257" s="248"/>
      <c r="L257" s="248"/>
      <c r="M257" s="248"/>
      <c r="N257" s="248"/>
      <c r="O257" s="248"/>
      <c r="P257" s="253"/>
      <c r="Q257" s="253"/>
      <c r="R257" s="254"/>
      <c r="S257" s="255"/>
      <c r="T257" s="247"/>
    </row>
    <row r="258" spans="1:20" s="264" customFormat="1" ht="15">
      <c r="A258" s="256"/>
      <c r="B258" s="257"/>
      <c r="C258" s="258"/>
      <c r="D258" s="258"/>
      <c r="E258" s="246"/>
      <c r="F258" s="259"/>
      <c r="G258" s="259"/>
      <c r="H258" s="259"/>
      <c r="I258" s="259"/>
      <c r="J258" s="259"/>
      <c r="K258" s="259"/>
      <c r="L258" s="259"/>
      <c r="M258" s="259"/>
      <c r="N258" s="259"/>
      <c r="O258" s="259"/>
      <c r="P258" s="260"/>
      <c r="Q258" s="260"/>
      <c r="R258" s="261"/>
      <c r="S258" s="262"/>
      <c r="T258" s="263"/>
    </row>
    <row r="259" spans="1:20" s="264" customFormat="1" ht="15">
      <c r="A259" s="256"/>
      <c r="B259" s="263" t="s">
        <v>170</v>
      </c>
      <c r="C259" s="265"/>
      <c r="D259" s="265"/>
      <c r="E259" s="266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67"/>
      <c r="Q259" s="267"/>
      <c r="R259" s="261"/>
      <c r="S259" s="262"/>
      <c r="T259" s="263"/>
    </row>
    <row r="260" ht="15">
      <c r="H260" s="6"/>
    </row>
    <row r="261" spans="6:9" ht="15">
      <c r="F261" s="5" t="s">
        <v>171</v>
      </c>
      <c r="G261" s="5">
        <f>G254+G253+G252+G251+G250+G249+G248+G247+G246+G245+G123+G122+G108+G107+G106+G105+G104+G74+G73+G72+G71+G70</f>
        <v>162915.69105</v>
      </c>
      <c r="H261" s="5">
        <f>H254+H253+H252+H251+H250+H249+H248+H247+H246+H245+H123+H122+H108+H107+H106+H105+H104+H74+H73+H72+H71+H70</f>
        <v>108217.18105</v>
      </c>
      <c r="I261" s="5">
        <f>I244+I121+I103+I69</f>
        <v>0</v>
      </c>
    </row>
    <row r="262" spans="2:6" ht="15">
      <c r="B262" s="268"/>
      <c r="E262" s="269"/>
      <c r="F262" s="270"/>
    </row>
    <row r="264" spans="6:20" ht="15">
      <c r="F264" s="271">
        <f>F13+F14+F15-F12</f>
        <v>0</v>
      </c>
      <c r="G264" s="271">
        <f>G13+G14+G15-G12</f>
        <v>0</v>
      </c>
      <c r="H264" s="271">
        <f>H13+H14+H15-H12</f>
        <v>0</v>
      </c>
      <c r="I264" s="271">
        <f>I13+I14+I15-I12</f>
        <v>0</v>
      </c>
      <c r="J264" s="271"/>
      <c r="K264" s="271"/>
      <c r="L264" s="271"/>
      <c r="M264" s="271"/>
      <c r="N264" s="271"/>
      <c r="O264" s="271"/>
      <c r="P264" s="272"/>
      <c r="Q264" s="272"/>
      <c r="T264" s="273">
        <v>378985985.48</v>
      </c>
    </row>
    <row r="265" spans="6:21" ht="15"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T265" s="274">
        <v>173112755.18</v>
      </c>
      <c r="U265" s="275"/>
    </row>
    <row r="266" spans="6:21" ht="15"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72"/>
      <c r="Q266" s="272"/>
      <c r="T266" s="10" t="e">
        <f>T254+T253+T252+T251+T250+T249+T248+T247+T246+T245+T123+T122+T108+T107+T106+T105+T104+T74+T73+T72+T71+T70</f>
        <v>#VALUE!</v>
      </c>
      <c r="U266" s="275"/>
    </row>
    <row r="267" spans="6:21" ht="15"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T267" s="10" t="e">
        <f>T16-T266</f>
        <v>#REF!</v>
      </c>
      <c r="U267" s="275"/>
    </row>
    <row r="268" ht="15">
      <c r="F268" s="242"/>
    </row>
  </sheetData>
  <sheetProtection/>
  <autoFilter ref="E6:E268"/>
  <mergeCells count="20">
    <mergeCell ref="P124:P243"/>
    <mergeCell ref="O12:O16"/>
    <mergeCell ref="P109:P123"/>
    <mergeCell ref="P17:P74"/>
    <mergeCell ref="P75:P100"/>
    <mergeCell ref="A7:A10"/>
    <mergeCell ref="O7:O10"/>
    <mergeCell ref="B7:B10"/>
    <mergeCell ref="F8:F10"/>
    <mergeCell ref="G9:G10"/>
    <mergeCell ref="C9:C10"/>
    <mergeCell ref="E7:E10"/>
    <mergeCell ref="D9:D10"/>
    <mergeCell ref="H9:H10"/>
    <mergeCell ref="T9:T10"/>
    <mergeCell ref="L9:N9"/>
    <mergeCell ref="I8:N8"/>
    <mergeCell ref="P7:P10"/>
    <mergeCell ref="Q7:R9"/>
    <mergeCell ref="I9:K9"/>
  </mergeCells>
  <printOptions/>
  <pageMargins left="0.47" right="0.15748031496062992" top="0.17" bottom="0.15748031496062992" header="0.16" footer="0.15748031496062992"/>
  <pageSetup fitToHeight="5" horizontalDpi="600" verticalDpi="600" orientation="landscape" paperSize="9" scale="74" r:id="rId3"/>
  <rowBreaks count="6" manualBreakCount="6">
    <brk id="36" max="255" man="1"/>
    <brk id="68" max="255" man="1"/>
    <brk id="123" max="255" man="1"/>
    <brk id="155" max="255" man="1"/>
    <brk id="191" max="255" man="1"/>
    <brk id="2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по УЖКХ Березовского городского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----</cp:lastModifiedBy>
  <dcterms:created xsi:type="dcterms:W3CDTF">2013-02-08T06:29:13Z</dcterms:created>
  <dcterms:modified xsi:type="dcterms:W3CDTF">2013-02-14T04:53:48Z</dcterms:modified>
  <cp:category/>
  <cp:version/>
  <cp:contentType/>
  <cp:contentStatus/>
</cp:coreProperties>
</file>